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lambeth-my.sharepoint.com/personal/gferris_lambeth_gov_uk/Documents/emissions accounting/Baseline/19-20 report/"/>
    </mc:Choice>
  </mc:AlternateContent>
  <xr:revisionPtr revIDLastSave="9" documentId="8_{D489A820-BE4F-4424-9E8F-268F63EC0B85}" xr6:coauthVersionLast="47" xr6:coauthVersionMax="47" xr10:uidLastSave="{FAC8589F-84E4-4593-835D-550FC9AE7213}"/>
  <bookViews>
    <workbookView xWindow="-120" yWindow="-120" windowWidth="20730" windowHeight="11160" firstSheet="1" activeTab="1" xr2:uid="{73FA1713-376B-4B61-8C62-858C3F347358}"/>
  </bookViews>
  <sheets>
    <sheet name="Overview" sheetId="14" r:id="rId1"/>
    <sheet name="Scope guidance" sheetId="7" r:id="rId2"/>
    <sheet name="Scope 1" sheetId="18" r:id="rId3"/>
    <sheet name="Scope 2" sheetId="17" r:id="rId4"/>
    <sheet name="Scope 3" sheetId="16" r:id="rId5"/>
    <sheet name="Outsourced Scope 3" sheetId="23" r:id="rId6"/>
    <sheet name="Summary tables" sheetId="19" r:id="rId7"/>
    <sheet name="Summary charts" sheetId="20" r:id="rId8"/>
    <sheet name="Data Collection Tab - Overview" sheetId="21" r:id="rId9"/>
    <sheet name="Data Collection Tab - Emissions" sheetId="22" r:id="rId10"/>
    <sheet name="GHG Emission Factors" sheetId="1" r:id="rId11"/>
    <sheet name="List Tab" sheetId="6" state="hidden" r:id="rId12"/>
  </sheets>
  <definedNames>
    <definedName name="Assumptions" localSheetId="5">#REF!</definedName>
    <definedName name="Assumptions">#REF!</definedName>
    <definedName name="Catering" localSheetId="5">#REF!</definedName>
    <definedName name="Catering">#REF!</definedName>
    <definedName name="Data" localSheetId="5">#REF!</definedName>
    <definedName name="Data">#REF!</definedName>
    <definedName name="Data1">#REF!</definedName>
    <definedName name="Education__further_and_higher">#REF!</definedName>
    <definedName name="Education__schools">#REF!</definedName>
    <definedName name="Entertainment">#REF!</definedName>
    <definedName name="Hospitals">#REF!</definedName>
    <definedName name="Hotels">#REF!</definedName>
    <definedName name="Industrial_Buildings">#REF!</definedName>
    <definedName name="Local_Authority_Buildings">#REF!</definedName>
    <definedName name="Measures">#REF!</definedName>
    <definedName name="MoD_Buildings">#REF!</definedName>
    <definedName name="Offices">#REF!</definedName>
    <definedName name="Primary_Health_Care__GPs_and_Dental_Practices">#REF!</definedName>
    <definedName name="Public_Buildings">#REF!</definedName>
    <definedName name="Select_from_below">#REF!</definedName>
    <definedName name="Sports_and_Recre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6" i="18" l="1"/>
  <c r="E67" i="18"/>
  <c r="E216" i="19" l="1"/>
  <c r="E217" i="19"/>
  <c r="E218" i="19"/>
  <c r="E219" i="19"/>
  <c r="E205" i="19"/>
  <c r="E206" i="19"/>
  <c r="E207" i="19"/>
  <c r="E208" i="19"/>
  <c r="D219" i="19"/>
  <c r="D217" i="19"/>
  <c r="D218" i="19"/>
  <c r="D210" i="19"/>
  <c r="D211" i="19"/>
  <c r="D212" i="19"/>
  <c r="D213" i="19"/>
  <c r="D214" i="19"/>
  <c r="D215" i="19"/>
  <c r="D216" i="19"/>
  <c r="D209" i="19"/>
  <c r="C209" i="19"/>
  <c r="D208" i="19"/>
  <c r="D207" i="19"/>
  <c r="D200" i="19"/>
  <c r="D201" i="19"/>
  <c r="D202" i="19"/>
  <c r="D203" i="19"/>
  <c r="D204" i="19"/>
  <c r="D205" i="19"/>
  <c r="D206" i="19"/>
  <c r="D199" i="19"/>
  <c r="C199" i="19"/>
  <c r="F152" i="23"/>
  <c r="F151" i="23"/>
  <c r="F150" i="23"/>
  <c r="F149" i="23"/>
  <c r="F148" i="23"/>
  <c r="F147" i="23"/>
  <c r="F146" i="23"/>
  <c r="F145" i="23"/>
  <c r="F144" i="23"/>
  <c r="F143" i="23"/>
  <c r="F142" i="23"/>
  <c r="F141" i="23"/>
  <c r="F140" i="23"/>
  <c r="F27" i="23"/>
  <c r="F26" i="23"/>
  <c r="F25" i="23"/>
  <c r="F20" i="23"/>
  <c r="F19" i="23"/>
  <c r="F18" i="23"/>
  <c r="F17" i="23"/>
  <c r="F100" i="23"/>
  <c r="E146" i="19"/>
  <c r="E147" i="19"/>
  <c r="E148" i="19"/>
  <c r="E149" i="19"/>
  <c r="D145" i="19"/>
  <c r="D146" i="19"/>
  <c r="D147" i="19"/>
  <c r="D148" i="19"/>
  <c r="D149" i="19"/>
  <c r="E103" i="16"/>
  <c r="E104" i="16"/>
  <c r="D138" i="19"/>
  <c r="D139" i="19"/>
  <c r="D140" i="19"/>
  <c r="D141" i="19"/>
  <c r="D142" i="19"/>
  <c r="D143" i="19"/>
  <c r="D144" i="19"/>
  <c r="D137" i="19"/>
  <c r="C137" i="19"/>
  <c r="C150" i="19"/>
  <c r="E133" i="19"/>
  <c r="E134" i="19"/>
  <c r="E135" i="19"/>
  <c r="E136" i="19"/>
  <c r="D128" i="19"/>
  <c r="D129" i="19"/>
  <c r="D130" i="19"/>
  <c r="D131" i="19"/>
  <c r="D132" i="19"/>
  <c r="D133" i="19"/>
  <c r="D134" i="19"/>
  <c r="D135" i="19"/>
  <c r="D136" i="19"/>
  <c r="D127" i="19"/>
  <c r="C127" i="19"/>
  <c r="E37" i="19"/>
  <c r="E38" i="19"/>
  <c r="E39" i="19"/>
  <c r="E40" i="19"/>
  <c r="E41" i="19"/>
  <c r="D38" i="19"/>
  <c r="D39" i="19"/>
  <c r="D40" i="19"/>
  <c r="D41" i="19"/>
  <c r="D37" i="19"/>
  <c r="G99" i="16"/>
  <c r="H99" i="16"/>
  <c r="E144" i="19" s="1"/>
  <c r="H100" i="16"/>
  <c r="E145" i="19" s="1"/>
  <c r="G100" i="16"/>
  <c r="E84" i="16"/>
  <c r="E85" i="16"/>
  <c r="G59" i="23"/>
  <c r="F59" i="23"/>
  <c r="D59" i="23"/>
  <c r="G58" i="23"/>
  <c r="F58" i="23"/>
  <c r="D58" i="23"/>
  <c r="G57" i="23"/>
  <c r="F57" i="23"/>
  <c r="D57" i="23"/>
  <c r="G56" i="23"/>
  <c r="F56" i="23"/>
  <c r="D56" i="23"/>
  <c r="G55" i="23"/>
  <c r="F55" i="23"/>
  <c r="D55" i="23"/>
  <c r="G54" i="23"/>
  <c r="F54" i="23"/>
  <c r="D54" i="23"/>
  <c r="F53" i="23"/>
  <c r="G53" i="23" s="1"/>
  <c r="D53" i="23"/>
  <c r="G52" i="23"/>
  <c r="F52" i="23"/>
  <c r="D52" i="23"/>
  <c r="G51" i="23"/>
  <c r="F51" i="23"/>
  <c r="D51" i="23"/>
  <c r="G50" i="23"/>
  <c r="F50" i="23"/>
  <c r="D50" i="23"/>
  <c r="G49" i="23"/>
  <c r="F49" i="23"/>
  <c r="D49" i="23"/>
  <c r="G48" i="23"/>
  <c r="F48" i="23"/>
  <c r="D48" i="23"/>
  <c r="G47" i="23"/>
  <c r="F47" i="23"/>
  <c r="D47" i="23"/>
  <c r="G46" i="23"/>
  <c r="F46" i="23"/>
  <c r="D46" i="23"/>
  <c r="G45" i="23"/>
  <c r="F45" i="23"/>
  <c r="D45" i="23"/>
  <c r="G44" i="23"/>
  <c r="F44" i="23"/>
  <c r="D44" i="23"/>
  <c r="G43" i="23"/>
  <c r="F43" i="23"/>
  <c r="D43" i="23"/>
  <c r="G42" i="23"/>
  <c r="F42" i="23"/>
  <c r="D42" i="23"/>
  <c r="G41" i="23"/>
  <c r="F41" i="23"/>
  <c r="D41" i="23"/>
  <c r="G40" i="23"/>
  <c r="F40" i="23"/>
  <c r="D40" i="23"/>
  <c r="G39" i="23"/>
  <c r="F39" i="23"/>
  <c r="D39" i="23"/>
  <c r="G38" i="23"/>
  <c r="F38" i="23"/>
  <c r="D38" i="23"/>
  <c r="F37" i="23"/>
  <c r="G37" i="23" s="1"/>
  <c r="D37" i="23"/>
  <c r="G36" i="23"/>
  <c r="F36" i="23"/>
  <c r="D36" i="23"/>
  <c r="G35" i="23"/>
  <c r="F35" i="23"/>
  <c r="D35" i="23"/>
  <c r="G34" i="23"/>
  <c r="F34" i="23"/>
  <c r="D34" i="23"/>
  <c r="G33" i="23"/>
  <c r="F33" i="23"/>
  <c r="D33" i="23"/>
  <c r="E181" i="23"/>
  <c r="E180" i="23"/>
  <c r="E179" i="23"/>
  <c r="E178" i="23"/>
  <c r="H177" i="23"/>
  <c r="E215" i="19" s="1"/>
  <c r="G177" i="23"/>
  <c r="E177" i="23"/>
  <c r="H176" i="23"/>
  <c r="E214" i="19" s="1"/>
  <c r="G176" i="23"/>
  <c r="E176" i="23"/>
  <c r="H175" i="23"/>
  <c r="E213" i="19" s="1"/>
  <c r="G175" i="23"/>
  <c r="E175" i="23"/>
  <c r="H174" i="23"/>
  <c r="E212" i="19" s="1"/>
  <c r="G174" i="23"/>
  <c r="E174" i="23"/>
  <c r="H173" i="23"/>
  <c r="E211" i="19" s="1"/>
  <c r="G173" i="23"/>
  <c r="E173" i="23"/>
  <c r="H172" i="23"/>
  <c r="E210" i="19" s="1"/>
  <c r="G172" i="23"/>
  <c r="E172" i="23"/>
  <c r="H171" i="23"/>
  <c r="E209" i="19" s="1"/>
  <c r="G171" i="23"/>
  <c r="E171" i="23"/>
  <c r="E166" i="23"/>
  <c r="E165" i="23"/>
  <c r="E164" i="23"/>
  <c r="E163" i="23"/>
  <c r="H162" i="23"/>
  <c r="E204" i="19" s="1"/>
  <c r="G162" i="23"/>
  <c r="E162" i="23"/>
  <c r="H161" i="23"/>
  <c r="E203" i="19" s="1"/>
  <c r="G161" i="23"/>
  <c r="E161" i="23"/>
  <c r="H160" i="23"/>
  <c r="E202" i="19" s="1"/>
  <c r="G160" i="23"/>
  <c r="E160" i="23"/>
  <c r="G159" i="23"/>
  <c r="H159" i="23" s="1"/>
  <c r="E201" i="19" s="1"/>
  <c r="E159" i="23"/>
  <c r="H158" i="23"/>
  <c r="E200" i="19" s="1"/>
  <c r="G158" i="23"/>
  <c r="E158" i="23"/>
  <c r="H157" i="23"/>
  <c r="E199" i="19" s="1"/>
  <c r="G157" i="23"/>
  <c r="E157" i="23"/>
  <c r="G98" i="16"/>
  <c r="G97" i="16"/>
  <c r="G96" i="16"/>
  <c r="G95" i="16"/>
  <c r="G94" i="16"/>
  <c r="G93" i="16"/>
  <c r="G92" i="16"/>
  <c r="G83" i="16"/>
  <c r="G82" i="16"/>
  <c r="G81" i="16"/>
  <c r="G80" i="16"/>
  <c r="H80" i="16" s="1"/>
  <c r="E129" i="19" s="1"/>
  <c r="F18" i="18"/>
  <c r="E92" i="16"/>
  <c r="H92" i="16"/>
  <c r="E137" i="19" s="1"/>
  <c r="E93" i="16"/>
  <c r="H93" i="16"/>
  <c r="E138" i="19" s="1"/>
  <c r="E94" i="16"/>
  <c r="H94" i="16"/>
  <c r="E139" i="19" s="1"/>
  <c r="E95" i="16"/>
  <c r="H95" i="16"/>
  <c r="E140" i="19" s="1"/>
  <c r="E96" i="16"/>
  <c r="H96" i="16"/>
  <c r="E141" i="19" s="1"/>
  <c r="E97" i="16"/>
  <c r="H97" i="16"/>
  <c r="E142" i="19" s="1"/>
  <c r="E98" i="16"/>
  <c r="H98" i="16"/>
  <c r="E143" i="19" s="1"/>
  <c r="E99" i="16"/>
  <c r="E100" i="16"/>
  <c r="E101" i="16"/>
  <c r="E102" i="16"/>
  <c r="E78" i="16"/>
  <c r="G78" i="16"/>
  <c r="H78" i="16"/>
  <c r="E127" i="19" s="1"/>
  <c r="E79" i="16"/>
  <c r="G79" i="16"/>
  <c r="H79" i="16"/>
  <c r="E128" i="19" s="1"/>
  <c r="E80" i="16"/>
  <c r="E81" i="16"/>
  <c r="H81" i="16"/>
  <c r="E130" i="19" s="1"/>
  <c r="E82" i="16"/>
  <c r="H82" i="16"/>
  <c r="E131" i="19" s="1"/>
  <c r="E83" i="16"/>
  <c r="H83" i="16"/>
  <c r="E132" i="19" s="1"/>
  <c r="E86" i="16"/>
  <c r="E87" i="16"/>
  <c r="F73" i="16"/>
  <c r="F72" i="16"/>
  <c r="F67" i="16"/>
  <c r="F66"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0" i="16"/>
  <c r="F29" i="16"/>
  <c r="F28" i="16"/>
  <c r="F27" i="16"/>
  <c r="F26" i="16"/>
  <c r="F25" i="16"/>
  <c r="F24" i="16"/>
  <c r="F23" i="16"/>
  <c r="F22" i="16"/>
  <c r="F21" i="16"/>
  <c r="F20" i="16"/>
  <c r="F19" i="16"/>
  <c r="F18" i="16"/>
  <c r="F39" i="17"/>
  <c r="F38" i="17"/>
  <c r="G38" i="17" s="1"/>
  <c r="E81" i="19" s="1"/>
  <c r="F37" i="17"/>
  <c r="F36" i="17"/>
  <c r="F31" i="17"/>
  <c r="F30" i="17"/>
  <c r="F29" i="17"/>
  <c r="F28" i="17"/>
  <c r="F27" i="17"/>
  <c r="F26" i="17"/>
  <c r="F25" i="17"/>
  <c r="F24" i="17"/>
  <c r="F19" i="17"/>
  <c r="F18" i="17"/>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31" i="18"/>
  <c r="F30" i="18"/>
  <c r="F29" i="18"/>
  <c r="F24" i="18"/>
  <c r="G24" i="18" s="1"/>
  <c r="E33" i="19" s="1"/>
  <c r="F23" i="18"/>
  <c r="G23" i="18" s="1"/>
  <c r="E32" i="19" s="1"/>
  <c r="F22" i="18"/>
  <c r="F21" i="18"/>
  <c r="G21" i="18" s="1"/>
  <c r="E30" i="19" s="1"/>
  <c r="F20" i="18"/>
  <c r="F19" i="18"/>
  <c r="F17" i="18"/>
  <c r="G36" i="17"/>
  <c r="E79" i="19" s="1"/>
  <c r="G37" i="17"/>
  <c r="E80" i="19" s="1"/>
  <c r="G39" i="17"/>
  <c r="E82" i="19" s="1"/>
  <c r="D39" i="17"/>
  <c r="D36" i="17"/>
  <c r="D37" i="17"/>
  <c r="D38" i="17"/>
  <c r="D28" i="17"/>
  <c r="D29" i="17"/>
  <c r="D30" i="17"/>
  <c r="D31" i="17"/>
  <c r="G26" i="17"/>
  <c r="E73" i="19" s="1"/>
  <c r="G27" i="17"/>
  <c r="E74" i="19" s="1"/>
  <c r="G28" i="17"/>
  <c r="E75" i="19" s="1"/>
  <c r="G29" i="17"/>
  <c r="E76" i="19" s="1"/>
  <c r="G30" i="17"/>
  <c r="E77" i="19" s="1"/>
  <c r="G31" i="17"/>
  <c r="E78" i="19" s="1"/>
  <c r="G24" i="17"/>
  <c r="E71" i="19" s="1"/>
  <c r="G25" i="17"/>
  <c r="E72" i="19" s="1"/>
  <c r="D25" i="17"/>
  <c r="D26" i="17"/>
  <c r="D27" i="17"/>
  <c r="D24" i="17"/>
  <c r="D21" i="18"/>
  <c r="D24" i="18"/>
  <c r="D23" i="18"/>
  <c r="G22" i="18"/>
  <c r="E31" i="19" s="1"/>
  <c r="D22" i="18"/>
  <c r="D32" i="18"/>
  <c r="D33" i="18"/>
  <c r="D34" i="18"/>
  <c r="D35" i="18"/>
  <c r="C83" i="19"/>
  <c r="C158" i="19"/>
  <c r="C154" i="19"/>
  <c r="D152" i="23"/>
  <c r="D151" i="23"/>
  <c r="D150" i="23"/>
  <c r="D149" i="23"/>
  <c r="D148" i="23"/>
  <c r="D147" i="23"/>
  <c r="D146" i="23"/>
  <c r="D145" i="23"/>
  <c r="D144" i="23"/>
  <c r="D143" i="23"/>
  <c r="D142" i="23"/>
  <c r="D141" i="23"/>
  <c r="D140" i="23"/>
  <c r="D100" i="23"/>
  <c r="D28" i="23"/>
  <c r="D27" i="23"/>
  <c r="D26" i="23"/>
  <c r="D25" i="23"/>
  <c r="D20" i="23"/>
  <c r="D19" i="23"/>
  <c r="D18" i="23"/>
  <c r="D17" i="23"/>
  <c r="E67" i="16"/>
  <c r="E66" i="16"/>
  <c r="D19" i="19" l="1"/>
  <c r="F128" i="19" s="1"/>
  <c r="D20" i="19"/>
  <c r="F138" i="19" s="1"/>
  <c r="E157" i="19"/>
  <c r="D155" i="19"/>
  <c r="D156" i="19"/>
  <c r="D157" i="19"/>
  <c r="D154" i="19"/>
  <c r="D151" i="19"/>
  <c r="D152" i="19"/>
  <c r="D153" i="19"/>
  <c r="D150" i="19"/>
  <c r="D187" i="19"/>
  <c r="D188" i="19"/>
  <c r="D189" i="19"/>
  <c r="D190" i="19"/>
  <c r="D191" i="19"/>
  <c r="D192" i="19"/>
  <c r="D193" i="19"/>
  <c r="D194" i="19"/>
  <c r="D195" i="19"/>
  <c r="D196" i="19"/>
  <c r="D197" i="19"/>
  <c r="D198" i="19"/>
  <c r="D186" i="19"/>
  <c r="D185" i="19"/>
  <c r="D159" i="19"/>
  <c r="D160" i="19"/>
  <c r="D161" i="19"/>
  <c r="D162" i="19"/>
  <c r="D163" i="19"/>
  <c r="D164" i="19"/>
  <c r="D165" i="19"/>
  <c r="D166" i="19"/>
  <c r="D167" i="19"/>
  <c r="D168" i="19"/>
  <c r="D169" i="19"/>
  <c r="D170" i="19"/>
  <c r="D171" i="19"/>
  <c r="D172" i="19"/>
  <c r="D173" i="19"/>
  <c r="D174" i="19"/>
  <c r="D175" i="19"/>
  <c r="D176" i="19"/>
  <c r="D177" i="19"/>
  <c r="D178" i="19"/>
  <c r="D179" i="19"/>
  <c r="D180" i="19"/>
  <c r="D181" i="19"/>
  <c r="D182" i="19"/>
  <c r="D183" i="19"/>
  <c r="D184" i="19"/>
  <c r="D158" i="19"/>
  <c r="C186" i="19"/>
  <c r="C185" i="19"/>
  <c r="F143" i="19" l="1"/>
  <c r="F141" i="19"/>
  <c r="F142" i="19"/>
  <c r="F148" i="19"/>
  <c r="F149" i="19"/>
  <c r="F147" i="19"/>
  <c r="F146" i="19"/>
  <c r="F139" i="19"/>
  <c r="F127" i="19"/>
  <c r="F130" i="19"/>
  <c r="F133" i="19"/>
  <c r="F134" i="19"/>
  <c r="F135" i="19"/>
  <c r="F131" i="19"/>
  <c r="F136" i="19"/>
  <c r="F140" i="19"/>
  <c r="F129" i="19"/>
  <c r="F144" i="19"/>
  <c r="F145" i="19"/>
  <c r="F137" i="19"/>
  <c r="F132" i="19"/>
  <c r="G152" i="23"/>
  <c r="G151" i="23"/>
  <c r="E197" i="19" s="1"/>
  <c r="G150" i="23"/>
  <c r="E196" i="19" s="1"/>
  <c r="G149" i="23"/>
  <c r="E195" i="19" s="1"/>
  <c r="G148" i="23"/>
  <c r="G147" i="23"/>
  <c r="E193" i="19" s="1"/>
  <c r="G146" i="23"/>
  <c r="G145" i="23"/>
  <c r="E191" i="19" s="1"/>
  <c r="G144" i="23"/>
  <c r="G143" i="23"/>
  <c r="E189" i="19" s="1"/>
  <c r="G142" i="23"/>
  <c r="E188" i="19" s="1"/>
  <c r="G141" i="23"/>
  <c r="G140" i="23"/>
  <c r="E186" i="19" s="1"/>
  <c r="G100" i="23"/>
  <c r="E185" i="19" s="1"/>
  <c r="E183" i="19"/>
  <c r="E181" i="19"/>
  <c r="E175" i="19"/>
  <c r="E173" i="19"/>
  <c r="E167" i="19"/>
  <c r="E165" i="19"/>
  <c r="E164" i="19"/>
  <c r="E163" i="19"/>
  <c r="E162" i="19"/>
  <c r="E161" i="19"/>
  <c r="E160" i="19"/>
  <c r="G27" i="23"/>
  <c r="G26" i="23"/>
  <c r="E155" i="19" s="1"/>
  <c r="G25" i="23"/>
  <c r="E154" i="19" s="1"/>
  <c r="G20" i="23"/>
  <c r="G19" i="23"/>
  <c r="G18" i="23"/>
  <c r="E151" i="19" s="1"/>
  <c r="G17" i="23"/>
  <c r="H76" i="22"/>
  <c r="H75" i="22"/>
  <c r="H74" i="22"/>
  <c r="H73" i="22"/>
  <c r="H72" i="22"/>
  <c r="H71" i="22"/>
  <c r="H70" i="22"/>
  <c r="H69" i="22"/>
  <c r="H68" i="22"/>
  <c r="H67" i="22"/>
  <c r="H66" i="22"/>
  <c r="H65" i="22"/>
  <c r="H64" i="22"/>
  <c r="A64" i="22"/>
  <c r="B64" i="22"/>
  <c r="C64" i="22"/>
  <c r="A65" i="22"/>
  <c r="B65" i="22"/>
  <c r="C65" i="22"/>
  <c r="A66" i="22"/>
  <c r="B66" i="22"/>
  <c r="C66" i="22"/>
  <c r="A67" i="22"/>
  <c r="B67" i="22"/>
  <c r="C67" i="22"/>
  <c r="A68" i="22"/>
  <c r="B68" i="22"/>
  <c r="C68" i="22"/>
  <c r="A69" i="22"/>
  <c r="B69" i="22"/>
  <c r="C69" i="22"/>
  <c r="A70" i="22"/>
  <c r="B70" i="22"/>
  <c r="C70" i="22"/>
  <c r="A71" i="22"/>
  <c r="B71" i="22"/>
  <c r="C71" i="22"/>
  <c r="A72" i="22"/>
  <c r="B72" i="22"/>
  <c r="C72" i="22"/>
  <c r="A73" i="22"/>
  <c r="B73" i="22"/>
  <c r="C73" i="22"/>
  <c r="A74" i="22"/>
  <c r="B74" i="22"/>
  <c r="C74" i="22"/>
  <c r="A75" i="22"/>
  <c r="B75" i="22"/>
  <c r="C75" i="22"/>
  <c r="A76" i="22"/>
  <c r="B76" i="22"/>
  <c r="C76" i="22"/>
  <c r="E156" i="19" l="1"/>
  <c r="E150" i="19"/>
  <c r="E153" i="19"/>
  <c r="E152" i="19"/>
  <c r="E158" i="19"/>
  <c r="E192" i="19"/>
  <c r="E168" i="19"/>
  <c r="E184" i="19"/>
  <c r="E166" i="19"/>
  <c r="E174" i="19"/>
  <c r="E178" i="19"/>
  <c r="E182" i="19"/>
  <c r="E190" i="19"/>
  <c r="E194" i="19"/>
  <c r="E198" i="19"/>
  <c r="E176" i="19"/>
  <c r="E187" i="19"/>
  <c r="E177" i="19"/>
  <c r="E171" i="19"/>
  <c r="E172" i="19"/>
  <c r="E169" i="19"/>
  <c r="E179" i="19"/>
  <c r="E170" i="19"/>
  <c r="E159" i="19"/>
  <c r="E180"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83" i="19"/>
  <c r="D84" i="19"/>
  <c r="D85" i="19"/>
  <c r="D86" i="19"/>
  <c r="D87" i="19"/>
  <c r="D88" i="19"/>
  <c r="D89" i="19"/>
  <c r="D90" i="19"/>
  <c r="D91" i="19"/>
  <c r="D92" i="19"/>
  <c r="D93" i="19"/>
  <c r="D94" i="19"/>
  <c r="D95" i="19"/>
  <c r="I76" i="22"/>
  <c r="I75" i="22"/>
  <c r="I74" i="22"/>
  <c r="I73" i="22"/>
  <c r="I72" i="22"/>
  <c r="I71" i="22"/>
  <c r="I70" i="22"/>
  <c r="I69" i="22"/>
  <c r="I68" i="22"/>
  <c r="I67" i="22"/>
  <c r="I66" i="22"/>
  <c r="I65" i="22"/>
  <c r="I64" i="22"/>
  <c r="D21" i="19" l="1"/>
  <c r="F170" i="19" s="1"/>
  <c r="D30" i="16"/>
  <c r="D29" i="16"/>
  <c r="D28" i="16"/>
  <c r="D27" i="16"/>
  <c r="D26" i="16"/>
  <c r="D25" i="16"/>
  <c r="D24" i="16"/>
  <c r="D23" i="16"/>
  <c r="D22" i="16"/>
  <c r="D21" i="16"/>
  <c r="D20" i="16"/>
  <c r="D19" i="16"/>
  <c r="D18" i="16"/>
  <c r="D35" i="16"/>
  <c r="G30" i="16"/>
  <c r="G29" i="16"/>
  <c r="G28" i="16"/>
  <c r="G27" i="16"/>
  <c r="G26" i="16"/>
  <c r="G25" i="16"/>
  <c r="G24" i="16"/>
  <c r="G23" i="16"/>
  <c r="G22" i="16"/>
  <c r="G21" i="16"/>
  <c r="G20" i="16"/>
  <c r="G19" i="16"/>
  <c r="G18" i="16"/>
  <c r="F174" i="19" l="1"/>
  <c r="F168" i="19"/>
  <c r="F198" i="19"/>
  <c r="F158" i="19"/>
  <c r="F184" i="19"/>
  <c r="F207" i="19"/>
  <c r="F208" i="19"/>
  <c r="F216" i="19"/>
  <c r="F217" i="19"/>
  <c r="F218" i="19"/>
  <c r="F219" i="19"/>
  <c r="F206" i="19"/>
  <c r="F157" i="19"/>
  <c r="F205" i="19"/>
  <c r="F201" i="19"/>
  <c r="F203" i="19"/>
  <c r="F215" i="19"/>
  <c r="F211" i="19"/>
  <c r="F213" i="19"/>
  <c r="F209" i="19"/>
  <c r="F214" i="19"/>
  <c r="F199" i="19"/>
  <c r="F210" i="19"/>
  <c r="F204" i="19"/>
  <c r="F212" i="19"/>
  <c r="F202" i="19"/>
  <c r="F200" i="19"/>
  <c r="F189" i="19"/>
  <c r="F155" i="19"/>
  <c r="F183" i="19"/>
  <c r="F160" i="19"/>
  <c r="F188" i="19"/>
  <c r="F193" i="19"/>
  <c r="F151" i="19"/>
  <c r="F191" i="19"/>
  <c r="F173" i="19"/>
  <c r="F154" i="19"/>
  <c r="F175" i="19"/>
  <c r="F161" i="19"/>
  <c r="F167" i="19"/>
  <c r="F181" i="19"/>
  <c r="F186" i="19"/>
  <c r="F162" i="19"/>
  <c r="F197" i="19"/>
  <c r="F165" i="19"/>
  <c r="F163" i="19"/>
  <c r="F195" i="19"/>
  <c r="F185" i="19"/>
  <c r="F164" i="19"/>
  <c r="F196" i="19"/>
  <c r="F171" i="19"/>
  <c r="F150" i="19"/>
  <c r="F152" i="19"/>
  <c r="F192" i="19"/>
  <c r="F178" i="19"/>
  <c r="F182" i="19"/>
  <c r="F194" i="19"/>
  <c r="F179" i="19"/>
  <c r="F190" i="19"/>
  <c r="F159" i="19"/>
  <c r="F176" i="19"/>
  <c r="F153" i="19"/>
  <c r="F172" i="19"/>
  <c r="F169" i="19"/>
  <c r="F166" i="19"/>
  <c r="F156" i="19"/>
  <c r="F177" i="19"/>
  <c r="F187" i="19"/>
  <c r="F180" i="19"/>
  <c r="J64" i="22"/>
  <c r="E83" i="19"/>
  <c r="D15" i="19"/>
  <c r="J72" i="22"/>
  <c r="E91" i="19"/>
  <c r="J65" i="22"/>
  <c r="E84" i="19"/>
  <c r="J73" i="22"/>
  <c r="E92" i="19"/>
  <c r="J66" i="22"/>
  <c r="E85" i="19"/>
  <c r="J74" i="22"/>
  <c r="E93" i="19"/>
  <c r="J70" i="22"/>
  <c r="E89" i="19"/>
  <c r="J71" i="22"/>
  <c r="E90" i="19"/>
  <c r="J67" i="22"/>
  <c r="E86" i="19"/>
  <c r="J75" i="22"/>
  <c r="E94" i="19"/>
  <c r="J68" i="22"/>
  <c r="E87" i="19"/>
  <c r="J76" i="22"/>
  <c r="E95" i="19"/>
  <c r="J69" i="22"/>
  <c r="E88" i="19"/>
  <c r="H101" i="22"/>
  <c r="H100" i="22"/>
  <c r="H99" i="22"/>
  <c r="H98" i="22"/>
  <c r="H97" i="22"/>
  <c r="H96" i="22"/>
  <c r="I95" i="22"/>
  <c r="H95" i="22"/>
  <c r="I94" i="22"/>
  <c r="H94" i="22"/>
  <c r="H93" i="22"/>
  <c r="H92" i="22"/>
  <c r="H91" i="22"/>
  <c r="H90" i="22"/>
  <c r="H89" i="22"/>
  <c r="H88" i="22"/>
  <c r="H87" i="22"/>
  <c r="H86" i="22"/>
  <c r="H85" i="22"/>
  <c r="H84" i="22"/>
  <c r="I83" i="22"/>
  <c r="H83" i="22"/>
  <c r="I82" i="22"/>
  <c r="H82" i="22"/>
  <c r="H81" i="22"/>
  <c r="H80" i="22"/>
  <c r="H79" i="22"/>
  <c r="I78" i="22"/>
  <c r="H78" i="22"/>
  <c r="H77" i="22"/>
  <c r="H128" i="22"/>
  <c r="H127" i="22"/>
  <c r="H126" i="22"/>
  <c r="H125" i="22"/>
  <c r="H124" i="22"/>
  <c r="H123" i="22"/>
  <c r="H122" i="22"/>
  <c r="H121" i="22"/>
  <c r="I120" i="22"/>
  <c r="H120" i="22"/>
  <c r="I119" i="22"/>
  <c r="H119" i="22"/>
  <c r="H118" i="22"/>
  <c r="H117" i="22"/>
  <c r="H116" i="22"/>
  <c r="H115" i="22"/>
  <c r="H114" i="22"/>
  <c r="H113" i="22"/>
  <c r="H112" i="22"/>
  <c r="H111" i="22"/>
  <c r="H110" i="22"/>
  <c r="H109" i="22"/>
  <c r="H108" i="22"/>
  <c r="H107" i="22"/>
  <c r="H106" i="22"/>
  <c r="H105" i="22"/>
  <c r="H104"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C128" i="22"/>
  <c r="B128" i="22"/>
  <c r="C127" i="22"/>
  <c r="B127" i="22"/>
  <c r="C126" i="22"/>
  <c r="B126" i="22"/>
  <c r="C125" i="22"/>
  <c r="B125" i="22"/>
  <c r="C124" i="22"/>
  <c r="B124" i="22"/>
  <c r="C123" i="22"/>
  <c r="B123" i="22"/>
  <c r="C122" i="22"/>
  <c r="B122" i="22"/>
  <c r="C121" i="22"/>
  <c r="B121" i="22"/>
  <c r="C120" i="22"/>
  <c r="B120" i="22"/>
  <c r="C119" i="22"/>
  <c r="B119" i="22"/>
  <c r="C118" i="22"/>
  <c r="B118" i="22"/>
  <c r="C117" i="22"/>
  <c r="B117" i="22"/>
  <c r="C116" i="22"/>
  <c r="B116" i="22"/>
  <c r="C115" i="22"/>
  <c r="B115" i="22"/>
  <c r="C114" i="22"/>
  <c r="B114" i="22"/>
  <c r="C113" i="22"/>
  <c r="B113" i="22"/>
  <c r="C112" i="22"/>
  <c r="B112" i="22"/>
  <c r="C111" i="22"/>
  <c r="B111" i="22"/>
  <c r="C110" i="22"/>
  <c r="B110" i="22"/>
  <c r="C109" i="22"/>
  <c r="B109" i="22"/>
  <c r="C108" i="22"/>
  <c r="B108" i="22"/>
  <c r="C107" i="22"/>
  <c r="B107" i="22"/>
  <c r="C106" i="22"/>
  <c r="B106" i="22"/>
  <c r="C105" i="22"/>
  <c r="B105" i="22"/>
  <c r="C104" i="22"/>
  <c r="B104" i="22"/>
  <c r="H103" i="22"/>
  <c r="C103" i="22"/>
  <c r="B103" i="22"/>
  <c r="H102" i="22"/>
  <c r="C102" i="22"/>
  <c r="B102" i="22"/>
  <c r="C101" i="22"/>
  <c r="B101" i="22"/>
  <c r="C100" i="22"/>
  <c r="B100" i="22"/>
  <c r="C99" i="22"/>
  <c r="B99" i="22"/>
  <c r="C98" i="22"/>
  <c r="B98" i="22"/>
  <c r="C97" i="22"/>
  <c r="B97" i="22"/>
  <c r="C96" i="22"/>
  <c r="B96" i="22"/>
  <c r="C95" i="22"/>
  <c r="B95" i="22"/>
  <c r="C94" i="22"/>
  <c r="B94" i="22"/>
  <c r="C93" i="22"/>
  <c r="B93" i="22"/>
  <c r="C92" i="22"/>
  <c r="B92" i="22"/>
  <c r="C91" i="22"/>
  <c r="B91" i="22"/>
  <c r="C90" i="22"/>
  <c r="B90" i="22"/>
  <c r="C89" i="22"/>
  <c r="B89" i="22"/>
  <c r="C88" i="22"/>
  <c r="B88" i="22"/>
  <c r="C87" i="22"/>
  <c r="B87" i="22"/>
  <c r="C86" i="22"/>
  <c r="B86" i="22"/>
  <c r="C85" i="22"/>
  <c r="B85" i="22"/>
  <c r="C84" i="22"/>
  <c r="B84" i="22"/>
  <c r="C83" i="22"/>
  <c r="B83" i="22"/>
  <c r="C82" i="22"/>
  <c r="B82" i="22"/>
  <c r="C81" i="22"/>
  <c r="B81" i="22"/>
  <c r="C80" i="22"/>
  <c r="B80" i="22"/>
  <c r="C79" i="22"/>
  <c r="B79" i="22"/>
  <c r="C78" i="22"/>
  <c r="B78" i="22"/>
  <c r="A103" i="22"/>
  <c r="A104" i="22"/>
  <c r="A105" i="22"/>
  <c r="A106" i="22"/>
  <c r="A107" i="22"/>
  <c r="A108" i="22"/>
  <c r="A109" i="22"/>
  <c r="A110" i="22"/>
  <c r="A111" i="22"/>
  <c r="A112" i="22"/>
  <c r="A113" i="22"/>
  <c r="A114" i="22"/>
  <c r="A115" i="22"/>
  <c r="A116" i="22"/>
  <c r="G61" i="16"/>
  <c r="J103" i="22" s="1"/>
  <c r="I103" i="22"/>
  <c r="D61" i="16"/>
  <c r="G60" i="16"/>
  <c r="J102" i="22" s="1"/>
  <c r="I102" i="22"/>
  <c r="D60" i="16"/>
  <c r="G59" i="16"/>
  <c r="J101" i="22" s="1"/>
  <c r="I101" i="22"/>
  <c r="D59" i="16"/>
  <c r="G58" i="16"/>
  <c r="J100" i="22" s="1"/>
  <c r="I100" i="22"/>
  <c r="D58" i="16"/>
  <c r="G57" i="16"/>
  <c r="J126" i="22" s="1"/>
  <c r="I99" i="22"/>
  <c r="D57" i="16"/>
  <c r="G56" i="16"/>
  <c r="J98" i="22" s="1"/>
  <c r="I98" i="22"/>
  <c r="D56" i="16"/>
  <c r="G55" i="16"/>
  <c r="J97" i="22" s="1"/>
  <c r="I97" i="22"/>
  <c r="D55" i="16"/>
  <c r="I96" i="22"/>
  <c r="D54" i="16"/>
  <c r="G53" i="16"/>
  <c r="J95" i="22" s="1"/>
  <c r="D53" i="16"/>
  <c r="I121" i="22"/>
  <c r="D52" i="16"/>
  <c r="G51" i="16"/>
  <c r="J120" i="22" s="1"/>
  <c r="I93" i="22"/>
  <c r="D51" i="16"/>
  <c r="G50" i="16"/>
  <c r="J92" i="22" s="1"/>
  <c r="I92" i="22"/>
  <c r="D50" i="16"/>
  <c r="G49" i="16"/>
  <c r="J118" i="22" s="1"/>
  <c r="I91" i="22"/>
  <c r="D49" i="16"/>
  <c r="G48" i="16"/>
  <c r="J90" i="22" s="1"/>
  <c r="I90" i="22"/>
  <c r="D48" i="16"/>
  <c r="G47" i="16"/>
  <c r="J89" i="22" s="1"/>
  <c r="I89" i="22"/>
  <c r="D47" i="16"/>
  <c r="G46" i="16"/>
  <c r="J115" i="22" s="1"/>
  <c r="I88" i="22"/>
  <c r="D46" i="16"/>
  <c r="G45" i="16"/>
  <c r="E106" i="19" s="1"/>
  <c r="I87" i="22"/>
  <c r="D45" i="16"/>
  <c r="G44" i="16"/>
  <c r="J113" i="22" s="1"/>
  <c r="I86" i="22"/>
  <c r="D44" i="16"/>
  <c r="G43" i="16"/>
  <c r="J85" i="22" s="1"/>
  <c r="D43" i="16"/>
  <c r="I84" i="22"/>
  <c r="D42" i="16"/>
  <c r="G41" i="16"/>
  <c r="D41" i="16"/>
  <c r="G40" i="16"/>
  <c r="J82" i="22" s="1"/>
  <c r="D40" i="16"/>
  <c r="G39" i="16"/>
  <c r="E100" i="19" s="1"/>
  <c r="I81" i="22"/>
  <c r="D39" i="16"/>
  <c r="G38" i="16"/>
  <c r="J107" i="22" s="1"/>
  <c r="I80" i="22"/>
  <c r="D38" i="16"/>
  <c r="I79" i="22"/>
  <c r="D37" i="16"/>
  <c r="G36" i="16"/>
  <c r="D36" i="16"/>
  <c r="G35" i="16"/>
  <c r="I77" i="22"/>
  <c r="F88" i="19" l="1"/>
  <c r="F86" i="19"/>
  <c r="J110" i="22"/>
  <c r="J105" i="22"/>
  <c r="F85" i="19"/>
  <c r="F87" i="19"/>
  <c r="F89" i="19"/>
  <c r="F84" i="19"/>
  <c r="F94" i="19"/>
  <c r="F83" i="19"/>
  <c r="F95" i="19"/>
  <c r="F93" i="19"/>
  <c r="F91" i="19"/>
  <c r="F90" i="19"/>
  <c r="F92" i="19"/>
  <c r="I108" i="22"/>
  <c r="I115" i="22"/>
  <c r="I125" i="22"/>
  <c r="I114" i="22"/>
  <c r="I118" i="22"/>
  <c r="J77" i="22"/>
  <c r="E96" i="19"/>
  <c r="I104" i="22"/>
  <c r="I124" i="22"/>
  <c r="I128" i="22"/>
  <c r="I112" i="22"/>
  <c r="I116" i="22"/>
  <c r="I107" i="22"/>
  <c r="I126" i="22"/>
  <c r="I113" i="22"/>
  <c r="I117" i="22"/>
  <c r="I127" i="22"/>
  <c r="I106" i="22"/>
  <c r="I111" i="22"/>
  <c r="I123" i="22"/>
  <c r="G52" i="16"/>
  <c r="J121" i="22" s="1"/>
  <c r="G54" i="16"/>
  <c r="G37" i="16"/>
  <c r="J79" i="22" s="1"/>
  <c r="G42" i="16"/>
  <c r="J93" i="22"/>
  <c r="J119" i="22"/>
  <c r="J80" i="22"/>
  <c r="J116" i="22"/>
  <c r="J108" i="22"/>
  <c r="J124" i="22"/>
  <c r="E104" i="19"/>
  <c r="E107" i="19"/>
  <c r="I122" i="22"/>
  <c r="J127" i="22"/>
  <c r="J83" i="22"/>
  <c r="J91" i="22"/>
  <c r="J99" i="22"/>
  <c r="E99" i="19"/>
  <c r="I109" i="22"/>
  <c r="J114" i="22"/>
  <c r="J122" i="22"/>
  <c r="J78" i="22"/>
  <c r="J86" i="22"/>
  <c r="J88" i="22"/>
  <c r="E108" i="19"/>
  <c r="J109" i="22"/>
  <c r="J117" i="22"/>
  <c r="J125" i="22"/>
  <c r="J81" i="22"/>
  <c r="E105" i="19"/>
  <c r="E109" i="19"/>
  <c r="J104" i="22"/>
  <c r="J112" i="22"/>
  <c r="J128" i="22"/>
  <c r="E97" i="19"/>
  <c r="E101" i="19"/>
  <c r="E110" i="19"/>
  <c r="I110" i="22"/>
  <c r="J87" i="22"/>
  <c r="E102" i="19"/>
  <c r="I105" i="22"/>
  <c r="I85" i="22"/>
  <c r="J84" i="22" l="1"/>
  <c r="J94" i="22"/>
  <c r="E98" i="19"/>
  <c r="J111" i="22"/>
  <c r="E103" i="19"/>
  <c r="J106" i="22"/>
  <c r="J123" i="22"/>
  <c r="D16" i="19"/>
  <c r="J96" i="22"/>
  <c r="H2" i="22" l="1"/>
  <c r="H55" i="22"/>
  <c r="I55" i="22"/>
  <c r="I29" i="22"/>
  <c r="I54" i="22"/>
  <c r="H54" i="22"/>
  <c r="I132" i="22"/>
  <c r="G73" i="16"/>
  <c r="J132" i="22" s="1"/>
  <c r="G72" i="16"/>
  <c r="J131" i="22" s="1"/>
  <c r="H130" i="22"/>
  <c r="I130" i="22"/>
  <c r="H129" i="22"/>
  <c r="I129" i="22"/>
  <c r="E112" i="19"/>
  <c r="E121" i="19"/>
  <c r="I63" i="22"/>
  <c r="G18" i="17"/>
  <c r="G65" i="18"/>
  <c r="J36" i="22" s="1"/>
  <c r="I35" i="22"/>
  <c r="G64" i="18"/>
  <c r="E65" i="19" s="1"/>
  <c r="G63" i="18"/>
  <c r="G62" i="18"/>
  <c r="J33" i="22" s="1"/>
  <c r="G61" i="18"/>
  <c r="I31" i="22"/>
  <c r="G60" i="18"/>
  <c r="E61" i="19" s="1"/>
  <c r="G59" i="18"/>
  <c r="G58" i="18"/>
  <c r="E59" i="19" s="1"/>
  <c r="I40" i="22"/>
  <c r="G42" i="18"/>
  <c r="I14" i="22"/>
  <c r="G43" i="18"/>
  <c r="G44" i="18"/>
  <c r="I16" i="22"/>
  <c r="G45" i="18"/>
  <c r="E46" i="19" s="1"/>
  <c r="I44" i="22"/>
  <c r="G46" i="18"/>
  <c r="I18" i="22"/>
  <c r="G47" i="18"/>
  <c r="I46" i="22"/>
  <c r="G48" i="18"/>
  <c r="I47" i="22"/>
  <c r="G49" i="18"/>
  <c r="I21" i="22"/>
  <c r="I22" i="22"/>
  <c r="G51" i="18"/>
  <c r="I23" i="22"/>
  <c r="G52" i="18"/>
  <c r="I24" i="22"/>
  <c r="G53" i="18"/>
  <c r="I25" i="22"/>
  <c r="G54" i="18"/>
  <c r="J25" i="22" s="1"/>
  <c r="I26" i="22"/>
  <c r="G55" i="18"/>
  <c r="J53" i="22" s="1"/>
  <c r="G41" i="18"/>
  <c r="I38" i="22"/>
  <c r="G67" i="18"/>
  <c r="I37" i="22"/>
  <c r="G66" i="18"/>
  <c r="J37" i="22" s="1"/>
  <c r="I28" i="22"/>
  <c r="G57" i="18"/>
  <c r="I27" i="22"/>
  <c r="G56" i="18"/>
  <c r="I4" i="22"/>
  <c r="G19" i="18"/>
  <c r="E28" i="19" s="1"/>
  <c r="G30" i="18"/>
  <c r="E35" i="19" s="1"/>
  <c r="G31" i="18"/>
  <c r="E36" i="19" s="1"/>
  <c r="J11" i="22"/>
  <c r="G29" i="18"/>
  <c r="J8" i="22" s="1"/>
  <c r="I3" i="22"/>
  <c r="I62" i="22"/>
  <c r="I131" i="22"/>
  <c r="H40" i="22"/>
  <c r="H41" i="22"/>
  <c r="I41" i="22"/>
  <c r="H42" i="22"/>
  <c r="I42" i="22"/>
  <c r="H43" i="22"/>
  <c r="I43" i="22"/>
  <c r="H44" i="22"/>
  <c r="H45" i="22"/>
  <c r="H46" i="22"/>
  <c r="H47" i="22"/>
  <c r="H48" i="22"/>
  <c r="I48" i="22"/>
  <c r="H49" i="22"/>
  <c r="I49" i="22"/>
  <c r="H50" i="22"/>
  <c r="I50" i="22"/>
  <c r="H51" i="22"/>
  <c r="I51" i="22"/>
  <c r="H52" i="22"/>
  <c r="I52" i="22"/>
  <c r="H53" i="22"/>
  <c r="I53" i="22"/>
  <c r="H56" i="22"/>
  <c r="I56" i="22"/>
  <c r="H57" i="22"/>
  <c r="H58" i="22"/>
  <c r="I58" i="22"/>
  <c r="H59" i="22"/>
  <c r="I59" i="22"/>
  <c r="H60" i="22"/>
  <c r="I60" i="22"/>
  <c r="H61" i="22"/>
  <c r="I61" i="22"/>
  <c r="I39" i="22"/>
  <c r="H39" i="22"/>
  <c r="H30" i="22"/>
  <c r="I30" i="22"/>
  <c r="H31" i="22"/>
  <c r="H32" i="22"/>
  <c r="I32" i="22"/>
  <c r="H33" i="22"/>
  <c r="I33" i="22"/>
  <c r="H34" i="22"/>
  <c r="I34" i="22"/>
  <c r="H35" i="22"/>
  <c r="H36" i="22"/>
  <c r="I36" i="22"/>
  <c r="H29" i="22"/>
  <c r="H13" i="22"/>
  <c r="H14" i="22"/>
  <c r="H15" i="22"/>
  <c r="I15" i="22"/>
  <c r="H16" i="22"/>
  <c r="H17" i="22"/>
  <c r="I17" i="22"/>
  <c r="H18" i="22"/>
  <c r="H19" i="22"/>
  <c r="H20" i="22"/>
  <c r="I20" i="22"/>
  <c r="H21" i="22"/>
  <c r="H22" i="22"/>
  <c r="H23" i="22"/>
  <c r="H24" i="22"/>
  <c r="H25" i="22"/>
  <c r="H26" i="22"/>
  <c r="I12" i="22"/>
  <c r="H12" i="22"/>
  <c r="I9" i="22"/>
  <c r="I10" i="22"/>
  <c r="I11" i="22"/>
  <c r="I8" i="22"/>
  <c r="I5" i="22"/>
  <c r="I7" i="22"/>
  <c r="H7" i="22"/>
  <c r="I6" i="22"/>
  <c r="H6" i="22"/>
  <c r="H3" i="22"/>
  <c r="G20" i="18"/>
  <c r="E29" i="19" s="1"/>
  <c r="I2" i="22"/>
  <c r="H38" i="22"/>
  <c r="H37" i="22"/>
  <c r="H28" i="22"/>
  <c r="H27" i="22"/>
  <c r="H132" i="22"/>
  <c r="H131" i="22"/>
  <c r="H63" i="22"/>
  <c r="H62" i="22"/>
  <c r="H9" i="22"/>
  <c r="H10" i="22"/>
  <c r="H11" i="22"/>
  <c r="H8" i="22"/>
  <c r="H5" i="22"/>
  <c r="H4" i="22"/>
  <c r="L2" i="21"/>
  <c r="K2" i="21"/>
  <c r="J2" i="21"/>
  <c r="I2" i="21"/>
  <c r="H2" i="21"/>
  <c r="G2" i="21"/>
  <c r="F2" i="21"/>
  <c r="E2" i="21"/>
  <c r="D2" i="21"/>
  <c r="C2" i="21"/>
  <c r="B2" i="21"/>
  <c r="A2" i="21"/>
  <c r="G11" i="22"/>
  <c r="C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77" i="22"/>
  <c r="C129" i="22"/>
  <c r="C130" i="22"/>
  <c r="C131" i="22"/>
  <c r="C132" i="22"/>
  <c r="C2" i="22"/>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77" i="22"/>
  <c r="B129" i="22"/>
  <c r="B130" i="22"/>
  <c r="B131" i="22"/>
  <c r="B132" i="22"/>
  <c r="B2" i="22"/>
  <c r="A3" i="22"/>
  <c r="A4" i="22"/>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77" i="22"/>
  <c r="A117" i="22"/>
  <c r="A118" i="22"/>
  <c r="A119" i="22"/>
  <c r="A120" i="22"/>
  <c r="A121" i="22"/>
  <c r="A122" i="22"/>
  <c r="A123" i="22"/>
  <c r="A124" i="22"/>
  <c r="A125" i="22"/>
  <c r="A126" i="22"/>
  <c r="A127" i="22"/>
  <c r="A128" i="22"/>
  <c r="A129" i="22"/>
  <c r="A130" i="22"/>
  <c r="A131" i="22"/>
  <c r="A132" i="22"/>
  <c r="A2" i="22"/>
  <c r="E116" i="19"/>
  <c r="D29" i="18"/>
  <c r="D30" i="18"/>
  <c r="D31" i="18"/>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51" i="18"/>
  <c r="D52" i="18"/>
  <c r="D53" i="18"/>
  <c r="D54" i="18"/>
  <c r="D55" i="18"/>
  <c r="D43" i="18"/>
  <c r="D124" i="19"/>
  <c r="D123" i="19"/>
  <c r="C123" i="19"/>
  <c r="C17" i="19"/>
  <c r="D67" i="16"/>
  <c r="D58" i="18"/>
  <c r="D59" i="18"/>
  <c r="D60" i="18"/>
  <c r="D61" i="18"/>
  <c r="D62" i="18"/>
  <c r="D63" i="18"/>
  <c r="D64" i="18"/>
  <c r="D65" i="18"/>
  <c r="D66" i="18"/>
  <c r="D67" i="18"/>
  <c r="C126" i="19"/>
  <c r="C125" i="19"/>
  <c r="C122" i="19"/>
  <c r="C121" i="19"/>
  <c r="C120" i="19"/>
  <c r="C119" i="19"/>
  <c r="C118" i="19"/>
  <c r="C117" i="19"/>
  <c r="C116" i="19"/>
  <c r="C115" i="19"/>
  <c r="C114" i="19"/>
  <c r="C113" i="19"/>
  <c r="C112" i="19"/>
  <c r="C111" i="19"/>
  <c r="C96" i="19"/>
  <c r="C70" i="19"/>
  <c r="C69" i="19"/>
  <c r="C42" i="19"/>
  <c r="C34" i="19"/>
  <c r="C26" i="19"/>
  <c r="C18" i="19"/>
  <c r="C16" i="19"/>
  <c r="C14" i="19"/>
  <c r="C13" i="19"/>
  <c r="C12" i="19"/>
  <c r="C11" i="19"/>
  <c r="D126" i="19"/>
  <c r="D125" i="19"/>
  <c r="D70" i="19"/>
  <c r="D69" i="19"/>
  <c r="D42" i="19"/>
  <c r="D29" i="19"/>
  <c r="D28" i="19"/>
  <c r="D27" i="19"/>
  <c r="D26" i="19"/>
  <c r="D36" i="18"/>
  <c r="D66" i="16"/>
  <c r="E122" i="19"/>
  <c r="E119" i="19"/>
  <c r="E114" i="19"/>
  <c r="E111" i="19"/>
  <c r="D73" i="16"/>
  <c r="D72" i="16"/>
  <c r="D19" i="17"/>
  <c r="D18" i="17"/>
  <c r="D17" i="18"/>
  <c r="D57" i="18"/>
  <c r="D56" i="18"/>
  <c r="D50" i="18"/>
  <c r="D49" i="18"/>
  <c r="D48" i="18"/>
  <c r="D47" i="18"/>
  <c r="D46" i="18"/>
  <c r="D45" i="18"/>
  <c r="D44" i="18"/>
  <c r="D42" i="18"/>
  <c r="D41" i="18"/>
  <c r="D20" i="18"/>
  <c r="D19" i="18"/>
  <c r="D18" i="18"/>
  <c r="D31" i="14"/>
  <c r="E66" i="19" l="1"/>
  <c r="E125" i="19"/>
  <c r="G50" i="18"/>
  <c r="E51" i="19" s="1"/>
  <c r="G18" i="18"/>
  <c r="G19" i="17"/>
  <c r="J63" i="22" s="1"/>
  <c r="E55" i="19"/>
  <c r="E44" i="19"/>
  <c r="J4" i="22"/>
  <c r="J41" i="22"/>
  <c r="J14" i="22"/>
  <c r="J10" i="22"/>
  <c r="E34" i="19"/>
  <c r="J7" i="22"/>
  <c r="D18" i="19"/>
  <c r="J62" i="22"/>
  <c r="J38" i="22"/>
  <c r="E67" i="19"/>
  <c r="J61" i="22"/>
  <c r="E63" i="19"/>
  <c r="J34" i="22"/>
  <c r="J60" i="22"/>
  <c r="J57" i="22"/>
  <c r="J54" i="22"/>
  <c r="J30" i="22"/>
  <c r="J56" i="22"/>
  <c r="J26" i="22"/>
  <c r="J27" i="22"/>
  <c r="J52" i="22"/>
  <c r="E58" i="19"/>
  <c r="J20" i="22"/>
  <c r="E52" i="19"/>
  <c r="E54" i="19"/>
  <c r="J50" i="22"/>
  <c r="J22" i="22"/>
  <c r="J49" i="22"/>
  <c r="J45" i="22"/>
  <c r="J43" i="22"/>
  <c r="E49" i="19"/>
  <c r="J44" i="22"/>
  <c r="J40" i="22"/>
  <c r="J42" i="22"/>
  <c r="D12" i="19"/>
  <c r="J5" i="22"/>
  <c r="J28" i="22"/>
  <c r="J16" i="22"/>
  <c r="J35" i="22"/>
  <c r="J59" i="22"/>
  <c r="J29" i="22"/>
  <c r="I13" i="22"/>
  <c r="J24" i="22"/>
  <c r="J51" i="22"/>
  <c r="E62" i="19"/>
  <c r="E64" i="19"/>
  <c r="J19" i="22"/>
  <c r="J31" i="22"/>
  <c r="J32" i="22"/>
  <c r="E56" i="19"/>
  <c r="J47" i="22"/>
  <c r="E126" i="19"/>
  <c r="G67" i="16"/>
  <c r="E124" i="19" s="1"/>
  <c r="E120" i="19"/>
  <c r="E118" i="19"/>
  <c r="E115" i="19"/>
  <c r="G17" i="18"/>
  <c r="G66" i="16"/>
  <c r="E123" i="19" s="1"/>
  <c r="E50" i="19"/>
  <c r="E47" i="19"/>
  <c r="I57" i="22"/>
  <c r="I19" i="22"/>
  <c r="E48" i="19"/>
  <c r="I45" i="22"/>
  <c r="J18" i="22"/>
  <c r="J17" i="22"/>
  <c r="E43" i="19"/>
  <c r="J13" i="22"/>
  <c r="E113" i="19"/>
  <c r="E60" i="19"/>
  <c r="E68" i="19"/>
  <c r="J12" i="22"/>
  <c r="E42" i="19"/>
  <c r="E117" i="19"/>
  <c r="E45" i="19"/>
  <c r="E53" i="19"/>
  <c r="J9" i="22"/>
  <c r="J39" i="22"/>
  <c r="J46" i="22"/>
  <c r="J55" i="22"/>
  <c r="J58" i="22"/>
  <c r="J23" i="22"/>
  <c r="E69" i="19"/>
  <c r="G69" i="19" s="1"/>
  <c r="J15" i="22"/>
  <c r="E57" i="19"/>
  <c r="D11" i="19" l="1"/>
  <c r="F32" i="19" s="1"/>
  <c r="D14" i="19"/>
  <c r="J3" i="22"/>
  <c r="E27" i="19"/>
  <c r="F41" i="19"/>
  <c r="F39" i="19"/>
  <c r="F36" i="19"/>
  <c r="F37" i="19"/>
  <c r="F38" i="19"/>
  <c r="F35" i="19"/>
  <c r="F40" i="19"/>
  <c r="D13" i="19"/>
  <c r="J48" i="22"/>
  <c r="F125" i="19"/>
  <c r="E70" i="19"/>
  <c r="G70" i="19" s="1"/>
  <c r="J21" i="22"/>
  <c r="J6" i="22"/>
  <c r="F126" i="19"/>
  <c r="F34" i="19"/>
  <c r="E26" i="19"/>
  <c r="J130" i="22"/>
  <c r="F118" i="19"/>
  <c r="F106" i="19"/>
  <c r="F100" i="19"/>
  <c r="F103" i="19"/>
  <c r="F101" i="19"/>
  <c r="F109" i="19"/>
  <c r="F98" i="19"/>
  <c r="F108" i="19"/>
  <c r="F99" i="19"/>
  <c r="F104" i="19"/>
  <c r="F97" i="19"/>
  <c r="F110" i="19"/>
  <c r="F107" i="19"/>
  <c r="F105" i="19"/>
  <c r="F102" i="19"/>
  <c r="F121" i="19"/>
  <c r="F112" i="19"/>
  <c r="F96" i="19"/>
  <c r="J2" i="22"/>
  <c r="D17" i="19"/>
  <c r="J129" i="22"/>
  <c r="F114" i="19"/>
  <c r="F117" i="19"/>
  <c r="F113" i="19"/>
  <c r="F116" i="19"/>
  <c r="F122" i="19"/>
  <c r="F111" i="19"/>
  <c r="F120" i="19"/>
  <c r="F115" i="19"/>
  <c r="F119" i="19"/>
  <c r="F28" i="19" l="1"/>
  <c r="F30" i="19"/>
  <c r="F33" i="19"/>
  <c r="F31" i="19"/>
  <c r="F29" i="19"/>
  <c r="F27" i="19"/>
  <c r="F79" i="19"/>
  <c r="F74" i="19"/>
  <c r="F75" i="19"/>
  <c r="F72" i="19"/>
  <c r="F73" i="19"/>
  <c r="F80" i="19"/>
  <c r="F78" i="19"/>
  <c r="F77" i="19"/>
  <c r="F82" i="19"/>
  <c r="F76" i="19"/>
  <c r="F71" i="19"/>
  <c r="F81" i="19"/>
  <c r="F49" i="19"/>
  <c r="F43" i="19"/>
  <c r="F53" i="19"/>
  <c r="F45" i="19"/>
  <c r="F65" i="19"/>
  <c r="F59" i="19"/>
  <c r="F52" i="19"/>
  <c r="F50" i="19"/>
  <c r="F47" i="19"/>
  <c r="F56" i="19"/>
  <c r="F42" i="19"/>
  <c r="F57" i="19"/>
  <c r="F58" i="19"/>
  <c r="F61" i="19"/>
  <c r="F68" i="19"/>
  <c r="F55" i="19"/>
  <c r="F48" i="19"/>
  <c r="F67" i="19"/>
  <c r="F60" i="19"/>
  <c r="F64" i="19"/>
  <c r="F66" i="19"/>
  <c r="F46" i="19"/>
  <c r="F51" i="19"/>
  <c r="F44" i="19"/>
  <c r="F54" i="19"/>
  <c r="F63" i="19"/>
  <c r="F62" i="19"/>
  <c r="F70" i="19"/>
  <c r="F69" i="19"/>
  <c r="D22" i="19"/>
  <c r="F26" i="19"/>
  <c r="F123" i="19"/>
  <c r="F124" i="19"/>
  <c r="G214" i="19" l="1"/>
  <c r="G219" i="19"/>
  <c r="G204" i="19"/>
  <c r="G211" i="19"/>
  <c r="G205" i="19"/>
  <c r="G212" i="19"/>
  <c r="G213" i="19"/>
  <c r="G209" i="19"/>
  <c r="G199" i="19"/>
  <c r="G217" i="19"/>
  <c r="G201" i="19"/>
  <c r="G216" i="19"/>
  <c r="G203" i="19"/>
  <c r="G207" i="19"/>
  <c r="G208" i="19"/>
  <c r="G218" i="19"/>
  <c r="G200" i="19"/>
  <c r="G210" i="19"/>
  <c r="G215" i="19"/>
  <c r="G206" i="19"/>
  <c r="G202" i="19"/>
  <c r="G157" i="19"/>
  <c r="G188" i="19"/>
  <c r="G161" i="19"/>
  <c r="G162" i="19"/>
  <c r="G183" i="19"/>
  <c r="G155" i="19"/>
  <c r="G189" i="19"/>
  <c r="G181" i="19"/>
  <c r="G164" i="19"/>
  <c r="G175" i="19"/>
  <c r="G154" i="19"/>
  <c r="G197" i="19"/>
  <c r="G160" i="19"/>
  <c r="G191" i="19"/>
  <c r="G186" i="19"/>
  <c r="G167" i="19"/>
  <c r="G163" i="19"/>
  <c r="G165" i="19"/>
  <c r="G173" i="19"/>
  <c r="G196" i="19"/>
  <c r="G185" i="19"/>
  <c r="G195" i="19"/>
  <c r="G193" i="19"/>
  <c r="G177" i="19"/>
  <c r="G170" i="19"/>
  <c r="G194" i="19"/>
  <c r="G182" i="19"/>
  <c r="G192" i="19"/>
  <c r="G179" i="19"/>
  <c r="G169" i="19"/>
  <c r="G184" i="19"/>
  <c r="G178" i="19"/>
  <c r="G187" i="19"/>
  <c r="G158" i="19"/>
  <c r="G180" i="19"/>
  <c r="G198" i="19"/>
  <c r="G172" i="19"/>
  <c r="G156" i="19"/>
  <c r="G168" i="19"/>
  <c r="G159" i="19"/>
  <c r="G176" i="19"/>
  <c r="G171" i="19"/>
  <c r="G190" i="19"/>
  <c r="G166" i="19"/>
  <c r="G174" i="19"/>
  <c r="G148" i="19"/>
  <c r="G149" i="19"/>
  <c r="G141" i="19"/>
  <c r="G140" i="19"/>
  <c r="G139" i="19"/>
  <c r="G137" i="19"/>
  <c r="G143" i="19"/>
  <c r="G144" i="19"/>
  <c r="G147" i="19"/>
  <c r="G146" i="19"/>
  <c r="G142" i="19"/>
  <c r="G145" i="19"/>
  <c r="G138" i="19"/>
  <c r="G136" i="19"/>
  <c r="G133" i="19"/>
  <c r="G134" i="19"/>
  <c r="G135" i="19"/>
  <c r="G132" i="19"/>
  <c r="G131" i="19"/>
  <c r="G130" i="19"/>
  <c r="G129" i="19"/>
  <c r="G128" i="19"/>
  <c r="G127" i="19"/>
  <c r="G153" i="19"/>
  <c r="G150" i="19"/>
  <c r="G151" i="19"/>
  <c r="G126" i="19"/>
  <c r="G152" i="19"/>
  <c r="G125" i="19"/>
  <c r="G123" i="19"/>
  <c r="G124" i="19"/>
  <c r="G97" i="19"/>
  <c r="G105" i="19"/>
  <c r="G113" i="19"/>
  <c r="G121" i="19"/>
  <c r="G90" i="19"/>
  <c r="G81" i="19"/>
  <c r="G78" i="19"/>
  <c r="G49" i="19"/>
  <c r="G57" i="19"/>
  <c r="G65" i="19"/>
  <c r="G92" i="19"/>
  <c r="G72" i="19"/>
  <c r="G43" i="19"/>
  <c r="G51" i="19"/>
  <c r="G59" i="19"/>
  <c r="G67" i="19"/>
  <c r="G103" i="19"/>
  <c r="G88" i="19"/>
  <c r="G76" i="19"/>
  <c r="G112" i="19"/>
  <c r="G89" i="19"/>
  <c r="G48" i="19"/>
  <c r="G98" i="19"/>
  <c r="G106" i="19"/>
  <c r="G114" i="19"/>
  <c r="G122" i="19"/>
  <c r="G96" i="19"/>
  <c r="G91" i="19"/>
  <c r="G80" i="19"/>
  <c r="G71" i="19"/>
  <c r="G50" i="19"/>
  <c r="G58" i="19"/>
  <c r="G66" i="19"/>
  <c r="G79" i="19"/>
  <c r="G47" i="19"/>
  <c r="G56" i="19"/>
  <c r="G99" i="19"/>
  <c r="G107" i="19"/>
  <c r="G115" i="19"/>
  <c r="G84" i="19"/>
  <c r="G100" i="19"/>
  <c r="G108" i="19"/>
  <c r="G116" i="19"/>
  <c r="G85" i="19"/>
  <c r="G93" i="19"/>
  <c r="G73" i="19"/>
  <c r="G44" i="19"/>
  <c r="G52" i="19"/>
  <c r="G60" i="19"/>
  <c r="G68" i="19"/>
  <c r="G118" i="19"/>
  <c r="G63" i="19"/>
  <c r="G120" i="19"/>
  <c r="G101" i="19"/>
  <c r="G109" i="19"/>
  <c r="G117" i="19"/>
  <c r="G86" i="19"/>
  <c r="G94" i="19"/>
  <c r="G74" i="19"/>
  <c r="G45" i="19"/>
  <c r="G53" i="19"/>
  <c r="G61" i="19"/>
  <c r="G102" i="19"/>
  <c r="G110" i="19"/>
  <c r="G87" i="19"/>
  <c r="G95" i="19"/>
  <c r="G75" i="19"/>
  <c r="G46" i="19"/>
  <c r="G54" i="19"/>
  <c r="G62" i="19"/>
  <c r="G111" i="19"/>
  <c r="G83" i="19"/>
  <c r="G55" i="19"/>
  <c r="G104" i="19"/>
  <c r="G82" i="19"/>
  <c r="G64" i="19"/>
  <c r="G119" i="19"/>
  <c r="G77" i="19"/>
  <c r="G26" i="19"/>
  <c r="G41" i="19"/>
  <c r="G38" i="19"/>
  <c r="G36" i="19"/>
  <c r="G37" i="19"/>
  <c r="G39" i="19"/>
  <c r="G40" i="19"/>
  <c r="G35" i="19"/>
  <c r="G34" i="19"/>
  <c r="G42" i="19"/>
  <c r="G28" i="19"/>
  <c r="G32" i="19"/>
  <c r="G29" i="19"/>
  <c r="G30" i="19"/>
  <c r="G33" i="19"/>
  <c r="G31" i="19"/>
  <c r="G27" i="19"/>
  <c r="E19" i="19"/>
  <c r="E20" i="19"/>
  <c r="E11" i="19"/>
  <c r="E21" i="19"/>
  <c r="E16" i="19"/>
  <c r="E17" i="19"/>
  <c r="E12" i="19"/>
  <c r="E18" i="19"/>
  <c r="E15" i="19"/>
  <c r="E13" i="19"/>
  <c r="E14" i="19"/>
  <c r="E22" i="19" l="1"/>
</calcChain>
</file>

<file path=xl/sharedStrings.xml><?xml version="1.0" encoding="utf-8"?>
<sst xmlns="http://schemas.openxmlformats.org/spreadsheetml/2006/main" count="2695" uniqueCount="746">
  <si>
    <t>Scope</t>
  </si>
  <si>
    <t>2014-15</t>
  </si>
  <si>
    <t>2015-16</t>
  </si>
  <si>
    <t>2016-17</t>
  </si>
  <si>
    <t>2017-18</t>
  </si>
  <si>
    <t>2018-19</t>
  </si>
  <si>
    <t>2019-20</t>
  </si>
  <si>
    <t>Natural Gas</t>
  </si>
  <si>
    <t>Burning oil - Kerosene</t>
  </si>
  <si>
    <t>Gas oil</t>
  </si>
  <si>
    <t>Wood pellets</t>
  </si>
  <si>
    <t>MPV - diesel</t>
  </si>
  <si>
    <t>Diesel van Class II (1.305 to 1.74 tonnes)</t>
  </si>
  <si>
    <t>Diesel van Class III (1.74 to 3.5 tonnes)</t>
  </si>
  <si>
    <t>Diesel 4x4</t>
  </si>
  <si>
    <t>Purchased electricity</t>
  </si>
  <si>
    <t>Small petrol motorbike 
(mopeds/scooters up to 125cc)</t>
  </si>
  <si>
    <t>Medium petrol motorbike 
(125-500cc)</t>
  </si>
  <si>
    <t>Average medium car (unknown fuel)</t>
  </si>
  <si>
    <t>Small hybrid car</t>
  </si>
  <si>
    <t>Medium hybrid car</t>
  </si>
  <si>
    <t>Large hybrid car</t>
  </si>
  <si>
    <t>Electric Vehicle</t>
  </si>
  <si>
    <t>Water</t>
  </si>
  <si>
    <t>kWh (Gross CV)</t>
  </si>
  <si>
    <t>Miles</t>
  </si>
  <si>
    <t>kWh</t>
  </si>
  <si>
    <t>Position</t>
  </si>
  <si>
    <t>Date</t>
  </si>
  <si>
    <t>Water Supply</t>
  </si>
  <si>
    <t>Cubic Meter</t>
  </si>
  <si>
    <t>Water Treatment</t>
  </si>
  <si>
    <t>https://www.gov.uk/government/collections/government-conversion-factors-for-company-reporting</t>
  </si>
  <si>
    <t>[Reporting Year]</t>
  </si>
  <si>
    <t>Corporate Property Sites</t>
  </si>
  <si>
    <t>Leisure Centres</t>
  </si>
  <si>
    <t>Fleet</t>
  </si>
  <si>
    <t>Community Schools and School Related Buildings</t>
  </si>
  <si>
    <t>Street lighting, Illuminated Bollards and Signs*</t>
  </si>
  <si>
    <t>Note</t>
  </si>
  <si>
    <t>Scope 1 &amp; 2</t>
  </si>
  <si>
    <t>Financial Control Boundary</t>
  </si>
  <si>
    <t>Operational Control Boundary</t>
  </si>
  <si>
    <t>Commercial property where control is given to the tenants through the lease agreement or the tenants are responsible for the supply of energy</t>
  </si>
  <si>
    <t>Academies</t>
  </si>
  <si>
    <t>Electricity</t>
  </si>
  <si>
    <t>Scope 3</t>
  </si>
  <si>
    <t>Measurement</t>
  </si>
  <si>
    <t>Reporting Year</t>
  </si>
  <si>
    <t>Scope 1</t>
  </si>
  <si>
    <t>Scope 2</t>
  </si>
  <si>
    <t>2020-21</t>
  </si>
  <si>
    <t>2021-22</t>
  </si>
  <si>
    <t>2022-23</t>
  </si>
  <si>
    <t>2023-24</t>
  </si>
  <si>
    <t>2024-25</t>
  </si>
  <si>
    <t>2025-26</t>
  </si>
  <si>
    <t>2027-28</t>
  </si>
  <si>
    <t>Activity</t>
  </si>
  <si>
    <t>Year</t>
  </si>
  <si>
    <t>Consumption</t>
  </si>
  <si>
    <t>Conversion Factor</t>
  </si>
  <si>
    <t>Bolton</t>
  </si>
  <si>
    <t>Manchester</t>
  </si>
  <si>
    <t>Oldham</t>
  </si>
  <si>
    <t>Tameside</t>
  </si>
  <si>
    <t>Trafford</t>
  </si>
  <si>
    <t>Wigan</t>
  </si>
  <si>
    <t>Knowsley</t>
  </si>
  <si>
    <t>St. Helens</t>
  </si>
  <si>
    <t>Sefton</t>
  </si>
  <si>
    <t>Barnsley</t>
  </si>
  <si>
    <t>Doncaster</t>
  </si>
  <si>
    <t>Rotherham</t>
  </si>
  <si>
    <t>Sheffield</t>
  </si>
  <si>
    <t>Gateshead</t>
  </si>
  <si>
    <t>Newcastle upon Tyne</t>
  </si>
  <si>
    <t>Sunderland</t>
  </si>
  <si>
    <t>Birmingham</t>
  </si>
  <si>
    <t>Coventry</t>
  </si>
  <si>
    <t>Solihull</t>
  </si>
  <si>
    <t>Bradford</t>
  </si>
  <si>
    <t>Calderdale</t>
  </si>
  <si>
    <t>Kirklees</t>
  </si>
  <si>
    <t>Leeds</t>
  </si>
  <si>
    <t>Wakefield</t>
  </si>
  <si>
    <t>Bury</t>
  </si>
  <si>
    <t>Rochdale</t>
  </si>
  <si>
    <t>Salford</t>
  </si>
  <si>
    <t>Stockport</t>
  </si>
  <si>
    <t>Liverpool</t>
  </si>
  <si>
    <t>Wirral</t>
  </si>
  <si>
    <t>North Tyneside</t>
  </si>
  <si>
    <t>South Tyneside</t>
  </si>
  <si>
    <t>Dudley</t>
  </si>
  <si>
    <t>Sandwell</t>
  </si>
  <si>
    <t>Walsall</t>
  </si>
  <si>
    <t>Wolverhampton</t>
  </si>
  <si>
    <t>Aylesbury Vale</t>
  </si>
  <si>
    <t>Chiltern</t>
  </si>
  <si>
    <t>South Bucks</t>
  </si>
  <si>
    <t>Wycombe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</si>
  <si>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</si>
  <si>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</si>
  <si>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</si>
  <si>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</si>
  <si>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</si>
  <si>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</si>
  <si>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</si>
  <si>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</si>
  <si>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</si>
  <si>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</si>
  <si>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</si>
  <si>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</si>
  <si>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</si>
  <si>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</si>
  <si>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</si>
  <si>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</si>
  <si>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</si>
  <si>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</si>
  <si>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</si>
  <si>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Mid Devon</t>
  </si>
  <si>
    <t>North Devon</t>
  </si>
  <si>
    <t>South Hams</t>
  </si>
  <si>
    <t>Teignbridge</t>
  </si>
  <si>
    <t>Torridge</t>
  </si>
  <si>
    <t>West Devon</t>
  </si>
  <si>
    <t>Lewes</t>
  </si>
  <si>
    <t>Rother</t>
  </si>
  <si>
    <t>Wealden</t>
  </si>
  <si>
    <t>Basildon</t>
  </si>
  <si>
    <t>Braintree</t>
  </si>
  <si>
    <t>Brentwood</t>
  </si>
  <si>
    <t>Castle Point</t>
  </si>
  <si>
    <t>Chelmsford</t>
  </si>
  <si>
    <t>Colchester</t>
  </si>
  <si>
    <t>Epping Forest</t>
  </si>
  <si>
    <t>Maldon</t>
  </si>
  <si>
    <t>Rochford</t>
  </si>
  <si>
    <t>Tendring</t>
  </si>
  <si>
    <t>Uttlesford</t>
  </si>
  <si>
    <t>Cheltenham</t>
  </si>
  <si>
    <t>Cotswold</t>
  </si>
  <si>
    <t>Forest of Dean</t>
  </si>
  <si>
    <t>Gloucester</t>
  </si>
  <si>
    <t>Stroud</t>
  </si>
  <si>
    <t>Tewkesbury</t>
  </si>
  <si>
    <t>Basingstoke and Deane</t>
  </si>
  <si>
    <t>East Hampshire</t>
  </si>
  <si>
    <t>Eastleigh</t>
  </si>
  <si>
    <t>Hart</t>
  </si>
  <si>
    <t>New Forest</t>
  </si>
  <si>
    <t>Test Valley</t>
  </si>
  <si>
    <t>Winchester</t>
  </si>
  <si>
    <t>Dacorum</t>
  </si>
  <si>
    <t>East Hertfordshire</t>
  </si>
  <si>
    <t>Hertsmere</t>
  </si>
  <si>
    <t>North Hertfordshire</t>
  </si>
  <si>
    <t>St Albans</t>
  </si>
  <si>
    <t>Three Rivers</t>
  </si>
  <si>
    <t>Welwyn Hatfield</t>
  </si>
  <si>
    <t>Ashford</t>
  </si>
  <si>
    <t>Canterbury</t>
  </si>
  <si>
    <t>Dartford</t>
  </si>
  <si>
    <t>Dover</t>
  </si>
  <si>
    <t>Gravesham</t>
  </si>
  <si>
    <t>Maidstone</t>
  </si>
  <si>
    <t>Sevenoaks</t>
  </si>
  <si>
    <t>Folkestone and Hythe</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</si>
  <si>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</si>
  <si>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</si>
  <si>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</si>
  <si>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</si>
  <si>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</si>
  <si>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</si>
  <si>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</si>
  <si>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</si>
  <si>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</si>
  <si>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</si>
  <si>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</si>
  <si>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</si>
  <si>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</si>
  <si>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</si>
  <si>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</si>
  <si>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</si>
  <si>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</si>
  <si>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</si>
  <si>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</si>
  <si>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</si>
  <si>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</si>
  <si>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</si>
  <si>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Boston</t>
  </si>
  <si>
    <t>East Lindsey</t>
  </si>
  <si>
    <t>North Kesteven</t>
  </si>
  <si>
    <t>South Holland</t>
  </si>
  <si>
    <t>South Kesteven</t>
  </si>
  <si>
    <t>West Lindsey</t>
  </si>
  <si>
    <t>Breckland</t>
  </si>
  <si>
    <t>Broadland</t>
  </si>
  <si>
    <t>Great Yarmouth</t>
  </si>
  <si>
    <t>King's Lynn and West Norfolk</t>
  </si>
  <si>
    <t>North Norfolk</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</si>
  <si>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</si>
  <si>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</si>
  <si>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</si>
  <si>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</si>
  <si>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</si>
  <si>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</si>
  <si>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</si>
  <si>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</si>
  <si>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</si>
  <si>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</si>
  <si>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</si>
  <si>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</si>
  <si>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</si>
  <si>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</si>
  <si>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</si>
  <si>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</si>
  <si>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</si>
  <si>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</si>
  <si>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</si>
  <si>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</si>
  <si>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</si>
  <si>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</si>
  <si>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</si>
  <si>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</si>
  <si>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</si>
  <si>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</si>
  <si>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</si>
  <si>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</si>
  <si>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</si>
  <si>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</si>
  <si>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Somerset West and Taunton</t>
  </si>
  <si>
    <t>Cannock Chase</t>
  </si>
  <si>
    <t>East Staffordshire</t>
  </si>
  <si>
    <t>Lichfield</t>
  </si>
  <si>
    <t>Newcastle-under-Lyme</t>
  </si>
  <si>
    <t>South Staffordshire</t>
  </si>
  <si>
    <t>Stafford</t>
  </si>
  <si>
    <t>Staffordshire Moorlands</t>
  </si>
  <si>
    <t>Babergh</t>
  </si>
  <si>
    <t>West Suffolk</t>
  </si>
  <si>
    <t>Mid Suffolk</t>
  </si>
  <si>
    <t>East Suffolk</t>
  </si>
  <si>
    <t>Elmbridge</t>
  </si>
  <si>
    <t>Guildford</t>
  </si>
  <si>
    <t>Mole Valley</t>
  </si>
  <si>
    <t>Reigate and Banstead</t>
  </si>
  <si>
    <t>Surrey Heath</t>
  </si>
  <si>
    <t>Tandridge</t>
  </si>
  <si>
    <t>Waverley</t>
  </si>
  <si>
    <t>North Warwickshire</t>
  </si>
  <si>
    <t>Rugby</t>
  </si>
  <si>
    <t>Stratford-on-Avon</t>
  </si>
  <si>
    <t>Warwick</t>
  </si>
  <si>
    <t>Adur</t>
  </si>
  <si>
    <t>Arun</t>
  </si>
  <si>
    <t>Chichester</t>
  </si>
  <si>
    <t>Horsham</t>
  </si>
  <si>
    <t>Mid Sussex</t>
  </si>
  <si>
    <t>Bromsgrove</t>
  </si>
  <si>
    <t>Malvern Hills</t>
  </si>
  <si>
    <t>Redditch</t>
  </si>
  <si>
    <t>Worcester</t>
  </si>
  <si>
    <t>Wychavon</t>
  </si>
  <si>
    <t>Wyre Forest</t>
  </si>
  <si>
    <t>Cambridge</t>
  </si>
  <si>
    <t>Harlow</t>
  </si>
  <si>
    <t>Fareham</t>
  </si>
  <si>
    <t>Gosport</t>
  </si>
  <si>
    <t>Havant</t>
  </si>
  <si>
    <t>Stevenage</t>
  </si>
  <si>
    <t>Oadby and Wigston</t>
  </si>
  <si>
    <t>Tamworth</t>
  </si>
  <si>
    <t>Ipswich</t>
  </si>
  <si>
    <t>Epsom and Ewell</t>
  </si>
  <si>
    <t>Spelthorne</t>
  </si>
  <si>
    <t>Nuneaton and Bedworth</t>
  </si>
  <si>
    <t>Worthing</t>
  </si>
  <si>
    <t>Rushmoor</t>
  </si>
  <si>
    <t>Broxbourne</t>
  </si>
  <si>
    <t>Lincoln</t>
  </si>
  <si>
    <t>Woking</t>
  </si>
  <si>
    <t>Exeter</t>
  </si>
  <si>
    <t>Watford</t>
  </si>
  <si>
    <t>Hastings</t>
  </si>
  <si>
    <t>Eastbourne</t>
  </si>
  <si>
    <t>Runnymede</t>
  </si>
  <si>
    <t>Norwich</t>
  </si>
  <si>
    <t>Crawley</t>
  </si>
  <si>
    <t>Westminster</t>
  </si>
  <si>
    <t>Barking and Dagenham</t>
  </si>
  <si>
    <t>Barnet</t>
  </si>
  <si>
    <t>Brent</t>
  </si>
  <si>
    <t>Bromley</t>
  </si>
  <si>
    <t>Camden</t>
  </si>
  <si>
    <t>Ealing</t>
  </si>
  <si>
    <t>Enfield</t>
  </si>
  <si>
    <t>Greenwich</t>
  </si>
  <si>
    <t>Hammersmith and Fulham</t>
  </si>
  <si>
    <t>Haringey</t>
  </si>
  <si>
    <t>Harrow</t>
  </si>
  <si>
    <t>Havering</t>
  </si>
  <si>
    <t>Hillingdon</t>
  </si>
  <si>
    <t>Hounslow</t>
  </si>
  <si>
    <t>Islington</t>
  </si>
  <si>
    <t>Kingston upon Thames</t>
  </si>
  <si>
    <t>Lambeth</t>
  </si>
  <si>
    <t>Lewisham</t>
  </si>
  <si>
    <t>Merton</t>
  </si>
  <si>
    <t>Newham</t>
  </si>
  <si>
    <t>Richmond upon Thames</t>
  </si>
  <si>
    <t>Sutton</t>
  </si>
  <si>
    <t>Waltham Forest</t>
  </si>
  <si>
    <t>Wandsworth</t>
  </si>
  <si>
    <t>City of London</t>
  </si>
  <si>
    <t>Tower Hamlets</t>
  </si>
  <si>
    <t>Hackney</t>
  </si>
  <si>
    <t>Kensington and Chelsea</t>
  </si>
  <si>
    <t>Southwark</t>
  </si>
  <si>
    <t>Bexley</t>
  </si>
  <si>
    <t>Redbridge</t>
  </si>
  <si>
    <t>Croydon</t>
  </si>
  <si>
    <t>Hartlepool</t>
  </si>
  <si>
    <t>Middlesbrough</t>
  </si>
  <si>
    <t>Redcar and Cleveland</t>
  </si>
  <si>
    <t>Stockton-on-Tees</t>
  </si>
  <si>
    <t>Darlington</t>
  </si>
  <si>
    <t>Halton</t>
  </si>
  <si>
    <t>Warrington</t>
  </si>
  <si>
    <t>Blackburn with Darwen</t>
  </si>
  <si>
    <t>East Riding of Yorkshire</t>
  </si>
  <si>
    <t>North East Lincolnshire</t>
  </si>
  <si>
    <t>North Lincolnshire</t>
  </si>
  <si>
    <t>York</t>
  </si>
  <si>
    <t>Rutland</t>
  </si>
  <si>
    <t>Herefordshire, County of</t>
  </si>
  <si>
    <t>Telford and Wrekin</t>
  </si>
  <si>
    <t>Bath and North East Somerset</t>
  </si>
  <si>
    <t>North Somerset</t>
  </si>
  <si>
    <t>South Gloucestershire</t>
  </si>
  <si>
    <t>Torbay</t>
  </si>
  <si>
    <t>Swindon</t>
  </si>
  <si>
    <t>Peterborough</t>
  </si>
  <si>
    <t>Southend-on-Sea</t>
  </si>
  <si>
    <t>Medway</t>
  </si>
  <si>
    <t>Bracknell Forest</t>
  </si>
  <si>
    <t>West Berkshire</t>
  </si>
  <si>
    <t>Slough</t>
  </si>
  <si>
    <t>Windsor and Maidenhead</t>
  </si>
  <si>
    <t>Wokingham</t>
  </si>
  <si>
    <t>Milton Keynes</t>
  </si>
  <si>
    <t>Brighton and Hove</t>
  </si>
  <si>
    <t>Isle of Wight</t>
  </si>
  <si>
    <t>Bournemouth, Christchurch and Poole</t>
  </si>
  <si>
    <t>Dorset</t>
  </si>
  <si>
    <t>County Durham</t>
  </si>
  <si>
    <t>Northumberland</t>
  </si>
  <si>
    <t>Cheshire East</t>
  </si>
  <si>
    <t>Cheshire West and Chester</t>
  </si>
  <si>
    <t>Shropshire</t>
  </si>
  <si>
    <t>Cornwall</t>
  </si>
  <si>
    <t>Wiltshire</t>
  </si>
  <si>
    <t>Bedford</t>
  </si>
  <si>
    <t>Central Bedfordshire</t>
  </si>
  <si>
    <t>Isles of Scilly</t>
  </si>
  <si>
    <t>Blackpool</t>
  </si>
  <si>
    <t>Derby</t>
  </si>
  <si>
    <t>Plymouth</t>
  </si>
  <si>
    <t>Luton</t>
  </si>
  <si>
    <t>Thurrock</t>
  </si>
  <si>
    <t>Reading</t>
  </si>
  <si>
    <t>Portsmouth</t>
  </si>
  <si>
    <t>Southampton</t>
  </si>
  <si>
    <t>Stoke-on-Trent</t>
  </si>
  <si>
    <t>Leicester</t>
  </si>
  <si>
    <t>Bristol, City of</t>
  </si>
  <si>
    <t>Kingston upon Hull</t>
  </si>
  <si>
    <t>Nottingham</t>
  </si>
  <si>
    <t>Bournemouth</t>
  </si>
  <si>
    <t>Powys</t>
  </si>
  <si>
    <t>Ceredigion</t>
  </si>
  <si>
    <t>Gwynedd</t>
  </si>
  <si>
    <t>Carmarthenshire</t>
  </si>
  <si>
    <t>Conwy</t>
  </si>
  <si>
    <t>Isle of Anglesey</t>
  </si>
  <si>
    <t>Pembrokeshire</t>
  </si>
  <si>
    <t>Monmouthshire</t>
  </si>
  <si>
    <t>Swansea</t>
  </si>
  <si>
    <t>Wrexham</t>
  </si>
  <si>
    <t>Denbighshire</t>
  </si>
  <si>
    <t>Rhondda Cynon Taf</t>
  </si>
  <si>
    <t>Neath Port Talbot</t>
  </si>
  <si>
    <t>Vale of Glamorgan</t>
  </si>
  <si>
    <t>Newport</t>
  </si>
  <si>
    <t>Flintshire</t>
  </si>
  <si>
    <t>Merthyr Tydfil</t>
  </si>
  <si>
    <t>Caerphilly</t>
  </si>
  <si>
    <t>Torfaen</t>
  </si>
  <si>
    <t>Bridgend</t>
  </si>
  <si>
    <t>Cardiff</t>
  </si>
  <si>
    <t>Blaenau Gwent</t>
  </si>
  <si>
    <t>Buckinghamshire</t>
  </si>
  <si>
    <t>Cambridgeshire</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</si>
  <si>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</si>
  <si>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</si>
  <si>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</si>
  <si>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</si>
  <si>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</si>
  <si>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</si>
  <si>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</si>
  <si>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</si>
  <si>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</si>
  <si>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</si>
  <si>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</si>
  <si>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</si>
  <si>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</si>
  <si>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</si>
  <si>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</si>
  <si>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</si>
  <si>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</si>
  <si>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</si>
  <si>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</si>
  <si>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</si>
  <si>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</si>
  <si>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</si>
  <si>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</si>
  <si>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</si>
  <si>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North West</t>
  </si>
  <si>
    <t>Yorkshire and The Humber</t>
  </si>
  <si>
    <t>North East</t>
  </si>
  <si>
    <t>West Midlands</t>
  </si>
  <si>
    <t>East Midlands</t>
  </si>
  <si>
    <t>South West</t>
  </si>
  <si>
    <t>East of England</t>
  </si>
  <si>
    <t>South East</t>
  </si>
  <si>
    <t>Metropolitan District</t>
  </si>
  <si>
    <t>Non Metropolitan District</t>
  </si>
  <si>
    <t>London Borough</t>
  </si>
  <si>
    <t>Unitary Authority</t>
  </si>
  <si>
    <t>County</t>
  </si>
  <si>
    <t>Region</t>
  </si>
  <si>
    <t>[Authority Type List]</t>
  </si>
  <si>
    <t>[Authority List]</t>
  </si>
  <si>
    <t>[Authority Region List]</t>
  </si>
  <si>
    <t>London</t>
  </si>
  <si>
    <t>Wales</t>
  </si>
  <si>
    <t>England</t>
  </si>
  <si>
    <t>Please Select Authority from List Above</t>
  </si>
  <si>
    <t>Burning Oil - Kerosene</t>
  </si>
  <si>
    <t>Gas Oil</t>
  </si>
  <si>
    <t>Wood Pellets</t>
  </si>
  <si>
    <t xml:space="preserve">Building Use </t>
  </si>
  <si>
    <t>Streetlighting</t>
  </si>
  <si>
    <t>Minibus</t>
  </si>
  <si>
    <t>Consumption Units</t>
  </si>
  <si>
    <t>Publication Date</t>
  </si>
  <si>
    <t>Emissions Type</t>
  </si>
  <si>
    <t>Heating</t>
  </si>
  <si>
    <t>Total Emissions</t>
  </si>
  <si>
    <t>Percentage of Total Emissions</t>
  </si>
  <si>
    <t>Yes</t>
  </si>
  <si>
    <t>Please Select</t>
  </si>
  <si>
    <t>No</t>
  </si>
  <si>
    <t>Private housing (not under the authority’s control or influence)</t>
  </si>
  <si>
    <t>The authority reports on all sources of carbon emissions over which it has operational control. The authority has operational control over a service if it has full authority to introduce and implement its operating policies.</t>
  </si>
  <si>
    <t>Drop down selection</t>
  </si>
  <si>
    <t>Text/number input</t>
  </si>
  <si>
    <t>(DD/MM/YYY)</t>
  </si>
  <si>
    <t>Calculation/Formula Cell - locked</t>
  </si>
  <si>
    <t>Summary</t>
  </si>
  <si>
    <t>Small petrol cars  ≤ 1.4 litre</t>
  </si>
  <si>
    <t>Small diesel car ≤ 1.7 litre</t>
  </si>
  <si>
    <t>Medium diesel car 1.7 - 2.0 litre</t>
  </si>
  <si>
    <t>Large diesel car &gt; 2.0 litre</t>
  </si>
  <si>
    <t>Large petrol car &gt; 2.0 litre</t>
  </si>
  <si>
    <t>Medium diesel car, 1.7 - 2.0 litre</t>
  </si>
  <si>
    <t>Diesel van Class I (up to 1.305 tonnes)</t>
  </si>
  <si>
    <t>Hostels (i.e. Temporary Accommodation)</t>
  </si>
  <si>
    <t>Emission Factor Source</t>
  </si>
  <si>
    <t>Latest Publication</t>
  </si>
  <si>
    <t>Medium petrol car 1.4 - 2.0 litre</t>
  </si>
  <si>
    <t>[Reporting Month]</t>
  </si>
  <si>
    <t>January</t>
  </si>
  <si>
    <t>February</t>
  </si>
  <si>
    <t>March</t>
  </si>
  <si>
    <t>April</t>
  </si>
  <si>
    <t>May</t>
  </si>
  <si>
    <t>June</t>
  </si>
  <si>
    <t>July</t>
  </si>
  <si>
    <t>August</t>
  </si>
  <si>
    <t>September</t>
  </si>
  <si>
    <t>October</t>
  </si>
  <si>
    <t>November</t>
  </si>
  <si>
    <t>December</t>
  </si>
  <si>
    <t>Please Select From Option</t>
  </si>
  <si>
    <t>Please Select Control Boundary</t>
  </si>
  <si>
    <t>[Yes/No]</t>
  </si>
  <si>
    <t>[Control Boundary]</t>
  </si>
  <si>
    <t>Percentage of Type Emissions</t>
  </si>
  <si>
    <t>Transmission &amp; Distribution Losses on EV</t>
  </si>
  <si>
    <t>Scope 1 Emissions - Heating</t>
  </si>
  <si>
    <t>Scope 1 Emissions - Authority Fleet</t>
  </si>
  <si>
    <t>Scope 2 Emissions - Electricity</t>
  </si>
  <si>
    <t>Overall Authority Emissions</t>
  </si>
  <si>
    <t>The authority reports on all sources of carbon emissions over which it has financial control. The authority has financial control over a service if it has the ability to direct the financial and operating policies of the service with a view to financially managing its activities, e.g. setting budgets, managing expenditure, and/or obtaining an ‘income’, such it might be the case in leisure centres, entertainment halls, community centres, etc..</t>
  </si>
  <si>
    <t>Authority's Fleet</t>
  </si>
  <si>
    <t>T&amp;D Losses - EV</t>
  </si>
  <si>
    <t>*https://ghgprotocol.org/corporate-standard</t>
  </si>
  <si>
    <t>Activity*
Engine sizes below are for indicative purposes only</t>
  </si>
  <si>
    <t>Fugitive Emissions</t>
  </si>
  <si>
    <t>As per the Green House Gas Protocol (Corporate Standard) methodology and latest UK Government Guidelines*</t>
  </si>
  <si>
    <t>Please list any other points of note i.e. outsourced services such as waste collection/treatment, highways, leased buildings, subsidiary companies and how the authority has accounted for these assets:-</t>
  </si>
  <si>
    <t>Petrol (average biofuel blend)</t>
  </si>
  <si>
    <t>Diesel (average biofuel blend)</t>
  </si>
  <si>
    <t>MPV - Diesel</t>
  </si>
  <si>
    <t>Minibus - Diesel</t>
  </si>
  <si>
    <t>Small Petrol Cars  ≤ 1.4 litre</t>
  </si>
  <si>
    <t>Small Hybrid Car - Petrol</t>
  </si>
  <si>
    <t>Large Diesel Car &gt; 2.0 litre</t>
  </si>
  <si>
    <t>Small Petrol Motorbike (Mopeds/Scooters up to 125cc)</t>
  </si>
  <si>
    <t>Medium Petrol Car 1.4 - 2.0 litre</t>
  </si>
  <si>
    <t>Large Petrol Car &gt; 2.0 litre</t>
  </si>
  <si>
    <t>[Fleet Units]</t>
  </si>
  <si>
    <t>Litres</t>
  </si>
  <si>
    <t>Consumption Units
(Please Select)</t>
  </si>
  <si>
    <t>Activity*
Consumption comprises of both Scope 1 and Scope 3 Electric Vehicle mileage</t>
  </si>
  <si>
    <t>[Heating Units]</t>
  </si>
  <si>
    <t>Rigid HGV (&gt;7.5 tonnes-17 tonnes)</t>
  </si>
  <si>
    <t>Rigid HGV (&gt;17 tonnes)</t>
  </si>
  <si>
    <t>Articulated HGV (&gt;3.5 - 33t)</t>
  </si>
  <si>
    <t>Articulated HGV (&gt;33t)</t>
  </si>
  <si>
    <t>All HGVs</t>
  </si>
  <si>
    <t>All Articulated HGVs</t>
  </si>
  <si>
    <t>All Rigid HGVs</t>
  </si>
  <si>
    <t>Other Vehicles - Petrol</t>
  </si>
  <si>
    <t>Other Vehicles - Diesel</t>
  </si>
  <si>
    <t>Rigid HGV (&gt;3.5 - 7.5 tonnes)</t>
  </si>
  <si>
    <t>T&amp;D Losses - Scope 2 Electricity</t>
  </si>
  <si>
    <t>Staff Travel</t>
  </si>
  <si>
    <t>Transmission &amp; Distribution Losses</t>
  </si>
  <si>
    <t>Scope 3 Emissions - T&amp;D Losses</t>
  </si>
  <si>
    <t>Electric Vehicle (Average Sized Car)</t>
  </si>
  <si>
    <t>Average Medium Car (Unknown Fuel)</t>
  </si>
  <si>
    <t>Medium Hybrid Car - Petrol</t>
  </si>
  <si>
    <t>Large Hybrid Car - Petrol</t>
  </si>
  <si>
    <t>Reporting year</t>
  </si>
  <si>
    <t>Reporting year start</t>
  </si>
  <si>
    <t>Reporting year end</t>
  </si>
  <si>
    <t>Authority name</t>
  </si>
  <si>
    <t>Authority type</t>
  </si>
  <si>
    <t>Authority region</t>
  </si>
  <si>
    <t>Prepared by</t>
  </si>
  <si>
    <t>Colour code</t>
  </si>
  <si>
    <t>Copyright</t>
  </si>
  <si>
    <t>Local Partnerships LLP 2020</t>
  </si>
  <si>
    <t>Scope boundaries</t>
  </si>
  <si>
    <t>Organisational boundary</t>
  </si>
  <si>
    <t>Control boundary</t>
  </si>
  <si>
    <t>If helpful, Local Partnerships will review the authority’s asset list and give further details of what should be included in Scope 1 &amp; 2</t>
  </si>
  <si>
    <t>Please select whether the authority is reporting based on Financial Control or Operational Control:</t>
  </si>
  <si>
    <r>
      <t xml:space="preserve">In order to satisfy the principles of Consistency and Comparability in carbon accounting as stated in the latest Environmental Reporting Guidelines issued by HM Government*, the same reporting period should be used throughout the organisation, i.e. for the carbon audit to be meaningful, the data sets needed would be for the latest period available for all properties and services across the authority. 
This means the data will be assessed for all organisations and buildings for the latest 12 month period available across all organisations, e.g. 2019 or 2019-2020 financial year or April 2019 through to March 2020, etc. As this can be used as a basis for aligning both carbon and financial budgets, reporting on the latest financial year is advisable.
</t>
    </r>
    <r>
      <rPr>
        <sz val="11"/>
        <color rgb="FF007078"/>
        <rFont val="Arial"/>
        <family val="2"/>
      </rPr>
      <t>*https://assets.publishing.service.gov.uk/government/uploads/system/uploads/attachment_data/file/850130/Env-reporting-guidance_inc_SECR_31March.pdf</t>
    </r>
  </si>
  <si>
    <t xml:space="preserve">Any other buildings or energy consuming </t>
  </si>
  <si>
    <t>assets owned or operated by the authority*</t>
  </si>
  <si>
    <t>*e.g. entertainment halls, museums, public</t>
  </si>
  <si>
    <t xml:space="preserve"> conveniences, depots, changing rooms at sport fields</t>
  </si>
  <si>
    <t xml:space="preserve">Authority housing (except for communal areas for </t>
  </si>
  <si>
    <t>which the council is responsible)</t>
  </si>
  <si>
    <t>To be included: currently in-scope</t>
  </si>
  <si>
    <t>To be excluded: currently out of scope</t>
  </si>
  <si>
    <t>Further comments or clarification about your carbon calculation: make any further notes about your calculation in the cell below</t>
  </si>
  <si>
    <t>Summary by scope</t>
  </si>
  <si>
    <t>*plus other elements of the "street scene"
such as ‘pay &amp; display’ machines</t>
  </si>
  <si>
    <t>Financial control boundary methodology</t>
  </si>
  <si>
    <t>Operational control boundary methodology</t>
  </si>
  <si>
    <r>
      <t xml:space="preserve">Once the authority’s organisational boundary and period have been established, the kWh consumption (electricity, gas and/or other fuels plus any steam, heat or cooling purchased) is needed for all of the above types of buildings in the authority portfolio that it has direct control of (financial or organisational, depending on the boundary criteria chosen). </t>
    </r>
    <r>
      <rPr>
        <b/>
        <sz val="11"/>
        <color theme="1"/>
        <rFont val="Arial"/>
        <family val="2"/>
      </rPr>
      <t>If liquid fuels are still being used in certain places, litres are acceptable but please note, you need energy units, not cost.</t>
    </r>
    <r>
      <rPr>
        <sz val="11"/>
        <color theme="1"/>
        <rFont val="Arial"/>
        <family val="2"/>
      </rPr>
      <t xml:space="preserve">
In order to calculate CO</t>
    </r>
    <r>
      <rPr>
        <vertAlign val="subscript"/>
        <sz val="11"/>
        <color theme="1"/>
        <rFont val="Arial"/>
        <family val="2"/>
      </rPr>
      <t>2</t>
    </r>
    <r>
      <rPr>
        <sz val="11"/>
        <color theme="1"/>
        <rFont val="Arial"/>
        <family val="2"/>
      </rPr>
      <t>e emissions of the council fleet via emissions factors the mileage used, and vehicle type of the vehicles owned and operated by the authority (including leased vehicles) is needed; These are considered Scope 1 emissions, whilst vehicles owned by employees but used to carry out the business of the authority (staff mileage/grey fleet) are considered Scope 3 emissions.
If any estimation any of the data to complete the agreed period is required, it is recommended that any estimation technique used is explicit, and quality measures, such as comparing the estimated data to historical data to ensure that it falls within a reasonable range, are applied.</t>
    </r>
  </si>
  <si>
    <r>
      <t>Emissions
(tCO</t>
    </r>
    <r>
      <rPr>
        <b/>
        <vertAlign val="subscript"/>
        <sz val="11"/>
        <color theme="0"/>
        <rFont val="Arial"/>
        <family val="2"/>
      </rPr>
      <t>2</t>
    </r>
    <r>
      <rPr>
        <b/>
        <sz val="11"/>
        <color theme="0"/>
        <rFont val="Arial"/>
        <family val="2"/>
      </rPr>
      <t>e)</t>
    </r>
  </si>
  <si>
    <t>Scope 3 Emissions - Water</t>
  </si>
  <si>
    <t>Other Fugitive Emissions</t>
  </si>
  <si>
    <t>Activity*
Please enter any other fugitive emissions calculations using guidance below</t>
  </si>
  <si>
    <t>R410A</t>
  </si>
  <si>
    <t>kg</t>
  </si>
  <si>
    <t>FAQ Link</t>
  </si>
  <si>
    <t>Scope 1 Emissions - Fugitive Emissions</t>
  </si>
  <si>
    <r>
      <t>kgCO</t>
    </r>
    <r>
      <rPr>
        <b/>
        <vertAlign val="subscript"/>
        <sz val="11"/>
        <color theme="0"/>
        <rFont val="Arial"/>
        <family val="2"/>
      </rPr>
      <t>2</t>
    </r>
    <r>
      <rPr>
        <b/>
        <sz val="11"/>
        <color theme="0"/>
        <rFont val="Arial"/>
        <family val="2"/>
      </rPr>
      <t>e/litre</t>
    </r>
  </si>
  <si>
    <r>
      <t>kgCO</t>
    </r>
    <r>
      <rPr>
        <b/>
        <vertAlign val="subscript"/>
        <sz val="11"/>
        <color theme="0"/>
        <rFont val="Arial"/>
        <family val="2"/>
      </rPr>
      <t>2</t>
    </r>
    <r>
      <rPr>
        <b/>
        <sz val="11"/>
        <color theme="0"/>
        <rFont val="Arial"/>
        <family val="2"/>
      </rPr>
      <t>e/kg</t>
    </r>
  </si>
  <si>
    <r>
      <t>kgCO</t>
    </r>
    <r>
      <rPr>
        <b/>
        <vertAlign val="subscript"/>
        <sz val="11"/>
        <color theme="0"/>
        <rFont val="Arial"/>
        <family val="2"/>
      </rPr>
      <t>2</t>
    </r>
    <r>
      <rPr>
        <b/>
        <sz val="11"/>
        <color theme="0"/>
        <rFont val="Arial"/>
        <family val="2"/>
      </rPr>
      <t>e/miles</t>
    </r>
  </si>
  <si>
    <r>
      <t>kgCO</t>
    </r>
    <r>
      <rPr>
        <b/>
        <vertAlign val="subscript"/>
        <sz val="11"/>
        <color theme="0"/>
        <rFont val="Arial"/>
        <family val="2"/>
      </rPr>
      <t>2</t>
    </r>
    <r>
      <rPr>
        <b/>
        <sz val="11"/>
        <color theme="0"/>
        <rFont val="Arial"/>
        <family val="2"/>
      </rPr>
      <t>e/kWh</t>
    </r>
  </si>
  <si>
    <r>
      <t>kgCO</t>
    </r>
    <r>
      <rPr>
        <b/>
        <vertAlign val="subscript"/>
        <sz val="11"/>
        <color theme="0"/>
        <rFont val="Arial"/>
        <family val="2"/>
      </rPr>
      <t>2</t>
    </r>
    <r>
      <rPr>
        <b/>
        <sz val="11"/>
        <color theme="0"/>
        <rFont val="Arial"/>
        <family val="2"/>
      </rPr>
      <t>e/m</t>
    </r>
    <r>
      <rPr>
        <b/>
        <vertAlign val="superscript"/>
        <sz val="11"/>
        <color theme="0"/>
        <rFont val="Arial"/>
        <family val="2"/>
      </rPr>
      <t>3</t>
    </r>
  </si>
  <si>
    <r>
      <rPr>
        <b/>
        <sz val="11"/>
        <color theme="1"/>
        <rFont val="Arial"/>
        <family val="2"/>
      </rPr>
      <t>Fugitive Emissions Calculations:</t>
    </r>
    <r>
      <rPr>
        <sz val="11"/>
        <color theme="1"/>
        <rFont val="Arial"/>
        <family val="2"/>
      </rPr>
      <t xml:space="preserve">
BEIS Guidance (from conversion factor sheets - https://www.gov.uk/government/collections/government-conversion-factors-for-company-reporting) under "Refrigerant &amp; other"
Type of Activity and Emission - 
Consumption - 
Conversion Factor - 
Emissions - 
</t>
    </r>
    <r>
      <rPr>
        <b/>
        <sz val="11"/>
        <color theme="1"/>
        <rFont val="Arial"/>
        <family val="2"/>
      </rPr>
      <t>Vehicles included in General Fuel Consumption</t>
    </r>
    <r>
      <rPr>
        <sz val="11"/>
        <color theme="1"/>
        <rFont val="Arial"/>
        <family val="2"/>
      </rPr>
      <t xml:space="preserve">
Petrol - 
Diesel - </t>
    </r>
  </si>
  <si>
    <t>HCFC-22/R22</t>
  </si>
  <si>
    <r>
      <t>kgCO</t>
    </r>
    <r>
      <rPr>
        <b/>
        <vertAlign val="subscript"/>
        <sz val="11"/>
        <color theme="0"/>
        <rFont val="Arial"/>
        <family val="2"/>
      </rPr>
      <t>2</t>
    </r>
    <r>
      <rPr>
        <b/>
        <sz val="11"/>
        <color theme="0"/>
        <rFont val="Arial"/>
        <family val="2"/>
      </rPr>
      <t>e/kWh (Gross CV)</t>
    </r>
  </si>
  <si>
    <t>HFC-32</t>
  </si>
  <si>
    <t>Authority Name</t>
  </si>
  <si>
    <t>Control Boundary</t>
  </si>
  <si>
    <t>Emissions
(tCO2e)</t>
  </si>
  <si>
    <t>Street lighting, Illuminated Bollards and Signs</t>
  </si>
  <si>
    <t>Outsourced Travel</t>
  </si>
  <si>
    <t>Scope 3 Emissions - Outsourced Travel</t>
  </si>
  <si>
    <t>Staff Business Travel</t>
  </si>
  <si>
    <t>Medium Petrol Motorbike (125-500cc)</t>
  </si>
  <si>
    <t>Average Medium Car (unknown fuel)</t>
  </si>
  <si>
    <t>Small Diesel Car ≤ 1.7 litre</t>
  </si>
  <si>
    <t>Medium Diesel Car 1.7 - 2.0 litre</t>
  </si>
  <si>
    <t>Outsourced Fleet</t>
  </si>
  <si>
    <t xml:space="preserve"> </t>
  </si>
  <si>
    <t>Outsourced Scope 3</t>
  </si>
  <si>
    <t>Scope 3 Emissions - Staff Travel</t>
  </si>
  <si>
    <t>Outsourced Scope 3 - Heating</t>
  </si>
  <si>
    <t>Outsourced Scope 3 - Fugitive Emissions</t>
  </si>
  <si>
    <t>Outsourced Scope 3 - Authority Fleet</t>
  </si>
  <si>
    <t>Outsourced Scope 3 - Staff Travel</t>
  </si>
  <si>
    <t>Outsourced Scope 3 - Electricity</t>
  </si>
  <si>
    <t>Local Partnerships LLP 2021</t>
  </si>
  <si>
    <t>Provider's Fleet</t>
  </si>
  <si>
    <t xml:space="preserve">Leased assets </t>
  </si>
  <si>
    <t xml:space="preserve">To be able to calculate emissions from staff business travel the data requirement is a combination of mileage recorded (if it is) and vehicle type or number plate.   </t>
  </si>
  <si>
    <t>Liquid Petroleum Gas</t>
  </si>
  <si>
    <t>Propane</t>
  </si>
  <si>
    <t>Coal (Domestic)</t>
  </si>
  <si>
    <t>Small car (PHEV)</t>
  </si>
  <si>
    <t>Medium car (PHEV)</t>
  </si>
  <si>
    <t>Large car (PHEV)</t>
  </si>
  <si>
    <t>Average car (PHEV)</t>
  </si>
  <si>
    <t>Small car (BEV)</t>
  </si>
  <si>
    <t>Medium car (BEV)</t>
  </si>
  <si>
    <t>Large car (BEV)</t>
  </si>
  <si>
    <t>Average car (BEV)</t>
  </si>
  <si>
    <t>UK electricity for Electric Cars</t>
  </si>
  <si>
    <t>UK electricity for Electric Vans</t>
  </si>
  <si>
    <t>Class I (up to 1.305 tonnes) BEV</t>
  </si>
  <si>
    <t>Class II (1.305 to 1.74 tonnes) BEV</t>
  </si>
  <si>
    <t>Class III (1.74 to 3.5 tonnes) BEV</t>
  </si>
  <si>
    <t>Average (up to 3.5 tonnes) BEV</t>
  </si>
  <si>
    <t>Material Use</t>
  </si>
  <si>
    <t>Food and drink</t>
  </si>
  <si>
    <t>tonnes</t>
  </si>
  <si>
    <t>Electrical items - IT</t>
  </si>
  <si>
    <t>Plastics: average plastics</t>
  </si>
  <si>
    <t>Plastics: PS (incl. forming)</t>
  </si>
  <si>
    <t>Plastics: PVC (incl. forming)</t>
  </si>
  <si>
    <t>Paper and board: paper</t>
  </si>
  <si>
    <t>Glass</t>
  </si>
  <si>
    <t>Organic: food and drink waste</t>
  </si>
  <si>
    <t>Commercial and industrial waste</t>
  </si>
  <si>
    <t>WEEE - mixed</t>
  </si>
  <si>
    <t>Metal: mixed cans</t>
  </si>
  <si>
    <t>Other Please Specify</t>
  </si>
  <si>
    <t>Paper and board: mixed</t>
  </si>
  <si>
    <t>Wood Chips</t>
  </si>
  <si>
    <t>kg CO2e</t>
  </si>
  <si>
    <t>For Outsourced Scope 3, the data requirement is the provider's Scope 1 and Scope 2 data, and the provider's Scope 3 staff business mileage data 
N.B. In the private sector ESOS requirements for recording transport use (where it is not de-minimis) has led to companies opting for fuel cards, mileage recording etc. This might be a good start if data is not available at present.</t>
  </si>
  <si>
    <t xml:space="preserve">Waste generated from own operations </t>
  </si>
  <si>
    <t>Disposal Method</t>
  </si>
  <si>
    <t>Primary material production</t>
  </si>
  <si>
    <t>Open-loop source</t>
  </si>
  <si>
    <t>Closed-loop source</t>
  </si>
  <si>
    <t xml:space="preserve">Material Sourced </t>
  </si>
  <si>
    <t>[Plastics]</t>
  </si>
  <si>
    <t>[Paper]</t>
  </si>
  <si>
    <t>[Glass]</t>
  </si>
  <si>
    <t>Open-loop</t>
  </si>
  <si>
    <t>Closed-loop</t>
  </si>
  <si>
    <t>Combustion</t>
  </si>
  <si>
    <t>Landfill</t>
  </si>
  <si>
    <t>Composting</t>
  </si>
  <si>
    <t>Anaerobic digestion</t>
  </si>
  <si>
    <t>[Organic Waste]</t>
  </si>
  <si>
    <t>[Commercial Waste]</t>
  </si>
  <si>
    <t>[WEEE - mixed]</t>
  </si>
  <si>
    <t>[Mixed Cans]</t>
  </si>
  <si>
    <t>[avrg plastics]</t>
  </si>
  <si>
    <t>[Paper &amp; Board]</t>
  </si>
  <si>
    <t>Plastics: average plastics PMP</t>
  </si>
  <si>
    <t>Plastics: average plastics OPS</t>
  </si>
  <si>
    <t>Plastics: average plastics CLS</t>
  </si>
  <si>
    <t>Plastics: PS (incl. forming) PMP</t>
  </si>
  <si>
    <t>Plastics: PS (incl. forming) OPS</t>
  </si>
  <si>
    <t>Plastics: PS (incl. forming) CLS</t>
  </si>
  <si>
    <t>Plastics: PVC (incl. forming) PMP</t>
  </si>
  <si>
    <t>Plastics: PVC (incl. forming) OLS</t>
  </si>
  <si>
    <t>Plastics: PVC (incl. forming) CLS</t>
  </si>
  <si>
    <t>Paper and board: paper PMP</t>
  </si>
  <si>
    <t>Paper and board: paper CLS</t>
  </si>
  <si>
    <t>Glass OL</t>
  </si>
  <si>
    <t>Glass CL</t>
  </si>
  <si>
    <t>Glass Combustion</t>
  </si>
  <si>
    <t>Glass Landfill</t>
  </si>
  <si>
    <t>Organic: food and drink waste Combustion</t>
  </si>
  <si>
    <t>Organic: food and drink waste Composting</t>
  </si>
  <si>
    <t>Organic: food and drink waste landfill</t>
  </si>
  <si>
    <t>Organic: food and drink waste AD</t>
  </si>
  <si>
    <t>Commercial and industrial waste CL</t>
  </si>
  <si>
    <t>Commercial and industrial waste Combustion</t>
  </si>
  <si>
    <t>Commercial and industrial waste Landfill</t>
  </si>
  <si>
    <t>Commercial and industrial waste Composting</t>
  </si>
  <si>
    <t>Commercial and industrial waste AD</t>
  </si>
  <si>
    <t>WEEE - mixed OL</t>
  </si>
  <si>
    <t>WEEE - mixed Combustion</t>
  </si>
  <si>
    <t>WEEE - mixed Landfill</t>
  </si>
  <si>
    <t>Metal: mixed cans OL</t>
  </si>
  <si>
    <t>Metal: mixed cans CL</t>
  </si>
  <si>
    <t>Metal: mixed cans Combustion</t>
  </si>
  <si>
    <t>Metal: mixed cans Landfill</t>
  </si>
  <si>
    <t>Plastics: average plastics OL</t>
  </si>
  <si>
    <t>Plastics: average plastics CL</t>
  </si>
  <si>
    <t>Plastics: average plastics Combustion</t>
  </si>
  <si>
    <t>Plastics: average plastics Landfill</t>
  </si>
  <si>
    <t>Paper and board: mixed CL</t>
  </si>
  <si>
    <t>Paper and board: mixed Combustion</t>
  </si>
  <si>
    <t>Paper and board: mixed Composting</t>
  </si>
  <si>
    <t>Paper and board: mixed Landfill</t>
  </si>
  <si>
    <t>Outsourced Material Use</t>
  </si>
  <si>
    <t xml:space="preserve">Waste generated from outsourced operations </t>
  </si>
  <si>
    <t>Commercial property where control is given to the tenants through the lease agreement or the tenants are responsible for the supply of energy.  If the landlord authority still has control and responsibility for the supply of energy, then the authority should consider what it hopes to do with the resulting emissions data.  Do you need data on these leased assets because either you expect to see and understand emissions from these leased assets, and/or because you can do something to mitigate these emissions now or in the future? If you don't have any use for the data, and it is not in your scope boundary, then do not include it.  A factor here is your chosen consolidation approach and how the leased asset structure relates to control, equity, etc. In summary, you have discretion, but you should justify your decision with why and how the emissions are relevant to the authority and the intended use(s) of the inventory results. Please contact Local Partnerships for more assistance if required.</t>
  </si>
  <si>
    <r>
      <t xml:space="preserve">
This Carbon Accounting Tool has been produced by Local Partnerships to help local authorities establish their baseline greenhouse gas emissions over a single reporting year. This tool provides a focus on Scope 1 and 2 emissions and is developing some Scope 3 data sets. Please read the “Scope Guidance” sheet carefully to determine which consumption data is to be considered in-scope. Emissions are determined by the multiplying of consumption data from your authority with conversion factors set by BEIS. Emissions are reported as CO</t>
    </r>
    <r>
      <rPr>
        <vertAlign val="subscript"/>
        <sz val="11"/>
        <color theme="1"/>
        <rFont val="Arial"/>
        <family val="2"/>
      </rPr>
      <t>2</t>
    </r>
    <r>
      <rPr>
        <sz val="11"/>
        <color theme="1"/>
        <rFont val="Arial"/>
        <family val="2"/>
      </rPr>
      <t>e. The Greenhouse Gas Protocol methodology accounts and reports on the seven greenhouse gases covered by the Kyoto Protocol – carbon dioxide (CO</t>
    </r>
    <r>
      <rPr>
        <vertAlign val="subscript"/>
        <sz val="11"/>
        <color theme="1"/>
        <rFont val="Arial"/>
        <family val="2"/>
      </rPr>
      <t>2</t>
    </r>
    <r>
      <rPr>
        <sz val="11"/>
        <color theme="1"/>
        <rFont val="Arial"/>
        <family val="2"/>
      </rPr>
      <t>), methane (CH</t>
    </r>
    <r>
      <rPr>
        <vertAlign val="subscript"/>
        <sz val="11"/>
        <color theme="1"/>
        <rFont val="Arial"/>
        <family val="2"/>
      </rPr>
      <t>4</t>
    </r>
    <r>
      <rPr>
        <sz val="11"/>
        <color theme="1"/>
        <rFont val="Arial"/>
        <family val="2"/>
      </rPr>
      <t>), nitrous oxide (N</t>
    </r>
    <r>
      <rPr>
        <vertAlign val="subscript"/>
        <sz val="11"/>
        <color theme="1"/>
        <rFont val="Arial"/>
        <family val="2"/>
      </rPr>
      <t>2</t>
    </r>
    <r>
      <rPr>
        <sz val="11"/>
        <color theme="1"/>
        <rFont val="Arial"/>
        <family val="2"/>
      </rPr>
      <t>O), hydrofluorocarbons (HFCs), perfluorocarbons (PCFs), sulphur hexafluoride (SF</t>
    </r>
    <r>
      <rPr>
        <vertAlign val="subscript"/>
        <sz val="11"/>
        <color theme="1"/>
        <rFont val="Arial"/>
        <family val="2"/>
      </rPr>
      <t>6</t>
    </r>
    <r>
      <rPr>
        <sz val="11"/>
        <color theme="1"/>
        <rFont val="Arial"/>
        <family val="2"/>
      </rPr>
      <t>) and nitrogen trifluoride (NF</t>
    </r>
    <r>
      <rPr>
        <vertAlign val="subscript"/>
        <sz val="11"/>
        <color theme="1"/>
        <rFont val="Arial"/>
        <family val="2"/>
      </rPr>
      <t>3</t>
    </r>
    <r>
      <rPr>
        <sz val="11"/>
        <color theme="1"/>
        <rFont val="Arial"/>
        <family val="2"/>
      </rPr>
      <t>), expressed as CO</t>
    </r>
    <r>
      <rPr>
        <vertAlign val="subscript"/>
        <sz val="11"/>
        <color theme="1"/>
        <rFont val="Arial"/>
        <family val="2"/>
      </rPr>
      <t>2</t>
    </r>
    <r>
      <rPr>
        <sz val="11"/>
        <color theme="1"/>
        <rFont val="Arial"/>
        <family val="2"/>
      </rPr>
      <t xml:space="preserve">e.  
Please enter the consumption data with the units prescribed in the Input sheet.
This Tool consists of nine (9) worksheets: Scope Guidance, inputs for Scope 1-3 (and Outsourced Scope 3), Summary Tables, Summary Charts, FAQs and GHG Emission Factors sheets.
Any input cells will be coloured in lime; calculation cells in light green and are locked from editing; and any drop-down menu cells will be coloured in dark green.
In case of any questions please contact Local Partnerships at ghgaccounting@localpartnerships.gov.uk. Please contact Local Partnerships if there is a warning next to the date, indicating that the BEIS conversion factors need to be updated for a new reporting year.
</t>
    </r>
    <r>
      <rPr>
        <b/>
        <sz val="11"/>
        <color theme="1"/>
        <rFont val="Arial"/>
        <family val="2"/>
      </rPr>
      <t>Disclaimer</t>
    </r>
    <r>
      <rPr>
        <sz val="11"/>
        <color theme="1"/>
        <rFont val="Arial"/>
        <family val="2"/>
      </rPr>
      <t xml:space="preserve">
This Carbon Accounting Tool has been produced and published in good faith by Local Partnerships and Local Partnerships shall not incur any liability for any action or omission arising out of any reliance being placed on it (including any information it contains) by any individual/organisation.  This Tool is intended to provide general guidance only, and any individual/organisation should consider independent technical, legal, financial and/or other relevant professional advice when considering what action (if any) to take in respect of any associated initiative, proposal or other arrangement, or before placing any reliance on this Tool (including any information it contains).  This Tool has been produced to support the public sector, and in particular local authorities in the management of their own emissions.  It is not intended for use by commercial organisations where the accounting guidance may differ.  Charging for the use of this Tool shall not be permitted in any circumstances.
</t>
    </r>
  </si>
  <si>
    <t>NB - Green tariffs and offsetting: please include what you have done in relation to considering purchasing green tariffs.  There are two main Government guidance documents which can help LAs looking to reduce GHG emissions by purchasing renewable energy: 1. “Guidance on how to measure and report your greenhouse gas emissions” (2009); and 2. “Environmental Reporting Guidelines: Including streamlined energy and carbon reporting guidance” (2019).  Green tariffs should be researched carefully as some tariffs are not as environmentally friendly as they claim to be. Please contact Local Partnerships for more assistance if required.</t>
  </si>
  <si>
    <t>NB - Green tariffs and offsetting: please include what you have done in relation to considering purchasing green tariffs.  There are two main Government guidance documents which can help LAs looking to reduce GHG emissions by purchasing renewable energy: 1. “Guidance on how to measure and report your greenhouse gas emissions” (2009); and 2. “Environmental Reporting Guidelines: Including streamlined energy and carbon reporting guidance” (2019).  Green tariffs should be researched carefully as some tariffs are not as environmentally friendly as they claim to be.  Offsetting should consider the following questions - has the LA offset any emissions by, e.g. planting trees? Is the LA aware of the issues around offsetting?</t>
  </si>
  <si>
    <t>Highways</t>
  </si>
  <si>
    <t>Social Care</t>
  </si>
  <si>
    <t xml:space="preserve">Waste Management </t>
  </si>
  <si>
    <t xml:space="preserve">Highways </t>
  </si>
  <si>
    <t xml:space="preserve">IT Services </t>
  </si>
  <si>
    <t xml:space="preserve">HR / Finance Services </t>
  </si>
  <si>
    <t xml:space="preserve">Water  Consumption </t>
  </si>
  <si>
    <t>Procurement of goods</t>
  </si>
  <si>
    <t xml:space="preserve">Procurement of goods </t>
  </si>
  <si>
    <t>Water consumption</t>
  </si>
  <si>
    <t>IT Services</t>
  </si>
  <si>
    <t>Authority housing (except for communal areas for which the council is responsible)</t>
  </si>
  <si>
    <t>[EV]</t>
  </si>
  <si>
    <t>Mileage</t>
  </si>
  <si>
    <t>T&amp;D Losses - EV Mileage Per Vehicle</t>
  </si>
  <si>
    <t>T&amp;D Losses - EV Charging</t>
  </si>
  <si>
    <t xml:space="preserve">Electric Vehicle Mileage </t>
  </si>
  <si>
    <t xml:space="preserve">Please select whether EV is being reported as mileage per vehicle type.  If the vehicle is charged predominately at a council charge point (such as the RCVs or pool fleet)  we recommend this is reported within overall Scope 2 electricity kWh consumption.  If the vehicles are predominately NOT charged at a council charge point we recommend reporting mileage per vehicle in the Scope 2 tab. </t>
  </si>
  <si>
    <t>Electric Vehicle mileage</t>
  </si>
  <si>
    <t>Propane*</t>
  </si>
  <si>
    <t xml:space="preserve">*Propane was first introduced to the 2021-22 release of the BEIS conversion factors and not was not present in previous versions. As such, if entering data for 2020-21, the conversion factor used for propane is the 2021-22 figure. </t>
  </si>
  <si>
    <t>Electrical items - IT*</t>
  </si>
  <si>
    <t xml:space="preserve">*'Electrical Items - IT' was first introduced to the 2021-22 release of the BEIS conversion factors and not was not present in previous versions. As such, if entering data for 2020-21, the conversion factor used for 'Electrical Items -IT' is the 2021-22 figure. </t>
  </si>
  <si>
    <t>Unavailable</t>
  </si>
  <si>
    <t>FAQ for this document can be found in the following link:-
https://localpartnerships.org.uk/wp-content/uploads/2021/07/Greenhouse-Gas-Accounting-Tool-FAQ-updated-July-2021.pdf</t>
  </si>
  <si>
    <t>Vehicles - municipal waste collection
Buildings - leisure centres</t>
  </si>
  <si>
    <t>Water supply and treatment data is incomplete.</t>
  </si>
  <si>
    <t xml:space="preserve">Owned and leased vehicles included
Downstream commercial and domestic leased assets not included
Treatment of waste generated in own operations not included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</si>
</sst>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
    <numFmt numFmtId="165" formatCode="_-* #,##0_-;\-* #,##0_-;_-* &quot;-&quot;??_-;_-@_-"/>
    <numFmt numFmtId="166" formatCode="0.0%"/>
    <numFmt numFmtId="167" formatCode="_-[$€-2]* #,##0.00_-;\-[$€-2]* #,##0.00_-;_-[$€-2]* &quot;-&quot;??_-"/>
    <numFmt numFmtId="168" formatCode="[&gt;0.5]#,##0;[&lt;-0.5]\-#,##0;\-"/>
    <numFmt numFmtId="169" formatCode="_-* #,##0\ _F_-;\-* #,##0\ _F_-;_-* &quot;-&quot;\ _F_-;_-@_-"/>
    <numFmt numFmtId="170" formatCode="_-* #,##0.00\ _F_-;\-* #,##0.00\ _F_-;_-* &quot;-&quot;??\ _F_-;_-@_-"/>
    <numFmt numFmtId="171" formatCode="_-* #,##0\ &quot;F&quot;_-;\-* #,##0\ &quot;F&quot;_-;_-* &quot;-&quot;\ &quot;F&quot;_-;_-@_-"/>
    <numFmt numFmtId="172" formatCode="_-* #,##0.00\ &quot;F&quot;_-;\-* #,##0.00\ &quot;F&quot;_-;_-* &quot;-&quot;??\ &quot;F&quot;_-;_-@_-"/>
    <numFmt numFmtId="173" formatCode="###.0"/>
    <numFmt numFmtId="174" formatCode="##.0"/>
    <numFmt numFmtId="175" formatCode="#,###,##0"/>
    <numFmt numFmtId="176" formatCode="_-&quot;öS&quot;\ * #,##0_-;\-&quot;öS&quot;\ * #,##0_-;_-&quot;öS&quot;\ * &quot;-&quot;_-;_-@_-"/>
    <numFmt numFmtId="177" formatCode="_-&quot;öS&quot;\ * #,##0.00_-;\-&quot;öS&quot;\ * #,##0.00_-;_-&quot;öS&quot;\ * &quot;-&quot;??_-;_-@_-"/>
    <numFmt numFmtId="178" formatCode="#,##0_ ;\-#,##0\ "/>
  </numFmts>
  <fonts count="67" x14ac:knownFonts="1">
    <font>
      <sz val="11"/>
      <color theme="1"/>
      <name val="Arial"/>
      <family val="2"/>
    </font>
    <font>
      <sz val="11"/>
      <color theme="1"/>
      <name val="Calibri"/>
      <family val="2"/>
      <scheme val="minor"/>
    </font>
    <font>
      <sz val="11"/>
      <color theme="1"/>
      <name val="Arial"/>
      <family val="2"/>
    </font>
    <font>
      <u/>
      <sz val="11"/>
      <color theme="10"/>
      <name val="Arial"/>
      <family val="2"/>
    </font>
    <font>
      <i/>
      <sz val="11"/>
      <color theme="1"/>
      <name val="Arial"/>
      <family val="2"/>
    </font>
    <font>
      <sz val="10"/>
      <name val="Arial"/>
      <family val="2"/>
    </font>
    <font>
      <sz val="11"/>
      <color theme="1"/>
      <name val="Calibri"/>
      <family val="2"/>
      <scheme val="minor"/>
    </font>
    <font>
      <b/>
      <sz val="11"/>
      <color theme="1"/>
      <name val="Arial"/>
      <family val="2"/>
    </font>
    <font>
      <b/>
      <sz val="11"/>
      <color theme="0"/>
      <name val="Arial"/>
      <family val="2"/>
    </font>
    <font>
      <b/>
      <i/>
      <sz val="11"/>
      <color theme="1"/>
      <name val="Arial"/>
      <family val="2"/>
    </font>
    <font>
      <b/>
      <u/>
      <sz val="11"/>
      <color theme="1"/>
      <name val="Arial"/>
      <family val="2"/>
    </font>
    <font>
      <sz val="8"/>
      <name val="Arial"/>
      <family val="2"/>
    </font>
    <font>
      <b/>
      <sz val="12"/>
      <name val="Helv"/>
    </font>
    <font>
      <sz val="12"/>
      <color indexed="10"/>
      <name val="Arial"/>
      <family val="2"/>
    </font>
    <font>
      <b/>
      <sz val="18"/>
      <color indexed="56"/>
      <name val="Cambria"/>
      <family val="2"/>
    </font>
    <font>
      <sz val="8"/>
      <name val="Helv"/>
    </font>
    <font>
      <sz val="11"/>
      <color indexed="8"/>
      <name val="Arial"/>
      <family val="2"/>
    </font>
    <font>
      <i/>
      <sz val="12"/>
      <name val="Times New Roman"/>
      <family val="1"/>
    </font>
    <font>
      <b/>
      <sz val="12"/>
      <color indexed="8"/>
      <name val="Arial"/>
      <family val="2"/>
    </font>
    <font>
      <u/>
      <sz val="10"/>
      <color indexed="12"/>
      <name val="Arial"/>
      <family val="2"/>
    </font>
    <font>
      <b/>
      <sz val="10"/>
      <color indexed="18"/>
      <name val="Arial"/>
      <family val="2"/>
    </font>
    <font>
      <sz val="12"/>
      <color indexed="62"/>
      <name val="Arial"/>
      <family val="2"/>
    </font>
    <font>
      <b/>
      <sz val="13"/>
      <color indexed="56"/>
      <name val="Arial"/>
      <family val="2"/>
    </font>
    <font>
      <sz val="12"/>
      <color indexed="8"/>
      <name val="Arial"/>
      <family val="2"/>
    </font>
    <font>
      <i/>
      <sz val="12"/>
      <color indexed="23"/>
      <name val="Arial"/>
      <family val="2"/>
    </font>
    <font>
      <sz val="14"/>
      <name val="Arial"/>
      <family val="2"/>
    </font>
    <font>
      <b/>
      <sz val="14"/>
      <name val="Helv"/>
    </font>
    <font>
      <sz val="12"/>
      <color indexed="17"/>
      <name val="Arial"/>
      <family val="2"/>
    </font>
    <font>
      <b/>
      <sz val="12"/>
      <color indexed="63"/>
      <name val="Arial"/>
      <family val="2"/>
    </font>
    <font>
      <b/>
      <sz val="9"/>
      <name val="Times New Roman"/>
      <family val="1"/>
    </font>
    <font>
      <sz val="12"/>
      <color indexed="20"/>
      <name val="Arial"/>
      <family val="2"/>
    </font>
    <font>
      <sz val="12"/>
      <color indexed="60"/>
      <name val="Arial"/>
      <family val="2"/>
    </font>
    <font>
      <b/>
      <sz val="12"/>
      <color indexed="9"/>
      <name val="Arial"/>
      <family val="2"/>
    </font>
    <font>
      <sz val="9"/>
      <name val="Times New Roman"/>
      <family val="1"/>
    </font>
    <font>
      <b/>
      <sz val="12"/>
      <color indexed="12"/>
      <name val="Arial"/>
      <family val="2"/>
    </font>
    <font>
      <b/>
      <sz val="12"/>
      <color indexed="52"/>
      <name val="Arial"/>
      <family val="2"/>
    </font>
    <font>
      <sz val="12"/>
      <color indexed="9"/>
      <name val="Arial"/>
      <family val="2"/>
    </font>
    <font>
      <sz val="10"/>
      <name val="Arial Cyr"/>
      <charset val="204"/>
    </font>
    <font>
      <sz val="12"/>
      <color indexed="52"/>
      <name val="Arial"/>
      <family val="2"/>
    </font>
    <font>
      <b/>
      <sz val="10"/>
      <color indexed="8"/>
      <name val="Arial"/>
      <family val="2"/>
    </font>
    <font>
      <b/>
      <sz val="15"/>
      <color indexed="56"/>
      <name val="Arial"/>
      <family val="2"/>
    </font>
    <font>
      <b/>
      <sz val="11"/>
      <color indexed="56"/>
      <name val="Arial"/>
      <family val="2"/>
    </font>
    <font>
      <sz val="10"/>
      <name val="Times New Roman"/>
      <family val="1"/>
    </font>
    <font>
      <u/>
      <sz val="10"/>
      <color theme="10"/>
      <name val="Arial"/>
      <family val="2"/>
    </font>
    <font>
      <sz val="10"/>
      <color theme="1"/>
      <name val="Arial"/>
      <family val="2"/>
    </font>
    <font>
      <u/>
      <sz val="11"/>
      <color theme="10"/>
      <name val="Calibri"/>
      <family val="2"/>
    </font>
    <font>
      <u/>
      <sz val="11"/>
      <color theme="10"/>
      <name val="Calibri"/>
      <family val="2"/>
      <scheme val="minor"/>
    </font>
    <font>
      <sz val="11"/>
      <color theme="0"/>
      <name val="Arial"/>
      <family val="2"/>
    </font>
    <font>
      <sz val="11"/>
      <color rgb="FF007078"/>
      <name val="Arial"/>
      <family val="2"/>
    </font>
    <font>
      <b/>
      <sz val="11"/>
      <name val="Arial"/>
      <family val="2"/>
    </font>
    <font>
      <sz val="11"/>
      <name val="Arial"/>
      <family val="2"/>
    </font>
    <font>
      <b/>
      <sz val="16"/>
      <color theme="1"/>
      <name val="Arial"/>
      <family val="2"/>
    </font>
    <font>
      <vertAlign val="subscript"/>
      <sz val="11"/>
      <color theme="1"/>
      <name val="Arial"/>
      <family val="2"/>
    </font>
    <font>
      <b/>
      <vertAlign val="subscript"/>
      <sz val="11"/>
      <color theme="0"/>
      <name val="Arial"/>
      <family val="2"/>
    </font>
    <font>
      <b/>
      <vertAlign val="superscript"/>
      <sz val="11"/>
      <color theme="0"/>
      <name val="Arial"/>
      <family val="2"/>
    </font>
    <font>
      <sz val="11"/>
      <color rgb="FF002060"/>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b/>
      <sz val="10"/>
      <color theme="0"/>
      <name val="Arial"/>
      <family val="2"/>
    </font>
  </fonts>
  <fills count="73">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indexed="11"/>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27"/>
        <bgColor indexed="64"/>
      </patternFill>
    </fill>
    <fill>
      <patternFill patternType="solid">
        <fgColor indexed="43"/>
        <bgColor indexed="64"/>
      </patternFill>
    </fill>
    <fill>
      <patternFill patternType="solid">
        <fgColor indexed="36"/>
        <bgColor indexed="64"/>
      </patternFill>
    </fill>
    <fill>
      <patternFill patternType="solid">
        <fgColor indexed="49"/>
        <bgColor indexed="64"/>
      </patternFill>
    </fill>
    <fill>
      <patternFill patternType="solid">
        <fgColor indexed="46"/>
        <bgColor indexed="64"/>
      </patternFill>
    </fill>
    <fill>
      <patternFill patternType="solid">
        <fgColor indexed="57"/>
        <bgColor indexed="64"/>
      </patternFill>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indexed="10"/>
        <bgColor indexed="64"/>
      </patternFill>
    </fill>
    <fill>
      <patternFill patternType="solid">
        <fgColor indexed="45"/>
        <bgColor indexed="64"/>
      </patternFill>
    </fill>
    <fill>
      <patternFill patternType="solid">
        <fgColor indexed="53"/>
        <bgColor indexed="64"/>
      </patternFill>
    </fill>
    <fill>
      <patternFill patternType="solid">
        <fgColor indexed="52"/>
        <bgColor indexed="64"/>
      </patternFill>
    </fill>
    <fill>
      <patternFill patternType="gray0625">
        <fgColor indexed="9"/>
      </patternFill>
    </fill>
    <fill>
      <patternFill patternType="lightGray">
        <fgColor indexed="9"/>
      </patternFill>
    </fill>
    <fill>
      <patternFill patternType="solid">
        <fgColor rgb="FF007078"/>
        <bgColor indexed="64"/>
      </patternFill>
    </fill>
    <fill>
      <patternFill patternType="solid">
        <fgColor rgb="FF00C18B"/>
        <bgColor indexed="64"/>
      </patternFill>
    </fill>
    <fill>
      <patternFill patternType="solid">
        <fgColor rgb="FFCFDB00"/>
        <bgColor indexed="64"/>
      </patternFill>
    </fill>
    <fill>
      <patternFill patternType="solid">
        <fgColor theme="0"/>
        <bgColor indexed="64"/>
      </patternFill>
    </fill>
    <fill>
      <patternFill patternType="solid">
        <fgColor theme="2"/>
        <bgColor indexed="64"/>
      </patternFill>
    </fill>
    <fill>
      <patternFill patternType="solid">
        <fgColor theme="1" tint="4.9989318521683403E-2"/>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rgb="FFFFFF00"/>
        <bgColor indexed="64"/>
      </patternFill>
    </fill>
  </fills>
  <borders count="8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style="thin">
        <color indexed="64"/>
      </left>
      <right style="medium">
        <color indexed="64"/>
      </right>
      <top/>
      <bottom style="thin">
        <color indexed="64"/>
      </bottom>
      <diagonal/>
    </border>
    <border>
      <left/>
      <right/>
      <top style="thick">
        <color rgb="FF00C18B"/>
      </top>
      <bottom/>
      <diagonal/>
    </border>
    <border>
      <left/>
      <right/>
      <top/>
      <bottom style="thick">
        <color rgb="FF007078"/>
      </bottom>
      <diagonal/>
    </border>
    <border>
      <left/>
      <right/>
      <top style="medium">
        <color rgb="FF007078"/>
      </top>
      <bottom/>
      <diagonal/>
    </border>
    <border>
      <left style="medium">
        <color rgb="FF007078"/>
      </left>
      <right/>
      <top/>
      <bottom/>
      <diagonal/>
    </border>
    <border>
      <left/>
      <right style="medium">
        <color rgb="FF007078"/>
      </right>
      <top/>
      <bottom/>
      <diagonal/>
    </border>
    <border>
      <left style="medium">
        <color rgb="FF007078"/>
      </left>
      <right/>
      <top/>
      <bottom style="medium">
        <color rgb="FF007078"/>
      </bottom>
      <diagonal/>
    </border>
    <border>
      <left/>
      <right/>
      <top/>
      <bottom style="medium">
        <color rgb="FF007078"/>
      </bottom>
      <diagonal/>
    </border>
    <border>
      <left/>
      <right style="medium">
        <color rgb="FF007078"/>
      </right>
      <top/>
      <bottom style="medium">
        <color rgb="FF007078"/>
      </bottom>
      <diagonal/>
    </border>
    <border>
      <left style="medium">
        <color rgb="FF007078"/>
      </left>
      <right/>
      <top style="medium">
        <color rgb="FF007078"/>
      </top>
      <bottom style="medium">
        <color rgb="FF007078"/>
      </bottom>
      <diagonal/>
    </border>
    <border>
      <left/>
      <right/>
      <top style="medium">
        <color rgb="FF007078"/>
      </top>
      <bottom style="medium">
        <color rgb="FF007078"/>
      </bottom>
      <diagonal/>
    </border>
    <border>
      <left/>
      <right style="medium">
        <color rgb="FF007078"/>
      </right>
      <top style="medium">
        <color rgb="FF007078"/>
      </top>
      <bottom style="medium">
        <color rgb="FF007078"/>
      </bottom>
      <diagonal/>
    </border>
    <border>
      <left/>
      <right/>
      <top/>
      <bottom style="medium">
        <color rgb="FF00C18B"/>
      </bottom>
      <diagonal/>
    </border>
    <border>
      <left/>
      <right/>
      <top style="medium">
        <color rgb="FF00C18B"/>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rgb="FF007078"/>
      </bottom>
      <diagonal/>
    </border>
    <border>
      <left style="thin">
        <color indexed="64"/>
      </left>
      <right style="thin">
        <color indexed="64"/>
      </right>
      <top/>
      <bottom style="medium">
        <color rgb="FF007078"/>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thin">
        <color rgb="FF053D5F"/>
      </left>
      <right style="thin">
        <color rgb="FF053D5F"/>
      </right>
      <top style="thin">
        <color rgb="FF053D5F"/>
      </top>
      <bottom style="thin">
        <color rgb="FF053D5F"/>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329">
    <xf numFmtId="0" fontId="0" fillId="0" borderId="0"/>
    <xf numFmtId="0" fontId="3" fillId="0" borderId="0" applyNumberFormat="0" applyFill="0" applyBorder="0" applyAlignment="0" applyProtection="0"/>
    <xf numFmtId="0" fontId="5" fillId="0" borderId="0"/>
    <xf numFmtId="0" fontId="6" fillId="0" borderId="0"/>
    <xf numFmtId="44" fontId="5" fillId="0" borderId="0" applyFont="0" applyFill="0" applyBorder="0" applyAlignment="0" applyProtection="0"/>
    <xf numFmtId="0" fontId="5" fillId="0" borderId="0"/>
    <xf numFmtId="43" fontId="2" fillId="0" borderId="0" applyFont="0" applyFill="0" applyBorder="0" applyAlignment="0" applyProtection="0"/>
    <xf numFmtId="9" fontId="2" fillId="0" borderId="0" applyFont="0" applyFill="0" applyBorder="0" applyAlignment="0" applyProtection="0"/>
    <xf numFmtId="164" fontId="5" fillId="0" borderId="0" applyFont="0" applyFill="0" applyBorder="0" applyAlignment="0" applyProtection="0">
      <alignment horizontal="left"/>
    </xf>
    <xf numFmtId="0" fontId="36" fillId="4" borderId="0" applyNumberFormat="0" applyBorder="0" applyAlignment="0" applyProtection="0"/>
    <xf numFmtId="0" fontId="36" fillId="5" borderId="0" applyNumberFormat="0" applyBorder="0" applyAlignment="0" applyProtection="0"/>
    <xf numFmtId="0" fontId="6" fillId="0" borderId="0"/>
    <xf numFmtId="43" fontId="5" fillId="0" borderId="0" applyFont="0" applyFill="0" applyBorder="0" applyAlignment="0" applyProtection="0"/>
    <xf numFmtId="49" fontId="5" fillId="0" borderId="0" applyFill="0" applyBorder="0" applyProtection="0">
      <alignment horizontal="left"/>
    </xf>
    <xf numFmtId="0" fontId="23" fillId="7" borderId="0" applyNumberFormat="0" applyBorder="0" applyAlignment="0" applyProtection="0"/>
    <xf numFmtId="0" fontId="35" fillId="8" borderId="22" applyNumberFormat="0" applyAlignment="0" applyProtection="0"/>
    <xf numFmtId="169" fontId="5" fillId="0" borderId="0" applyFont="0" applyFill="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1" fillId="10" borderId="22" applyNumberFormat="0" applyAlignment="0" applyProtection="0"/>
    <xf numFmtId="0" fontId="5" fillId="10" borderId="0" applyNumberFormat="0" applyFont="0" applyBorder="0" applyAlignment="0"/>
    <xf numFmtId="0" fontId="23" fillId="11" borderId="24" applyNumberFormat="0" applyFont="0" applyAlignment="0" applyProtection="0"/>
    <xf numFmtId="0" fontId="36" fillId="12" borderId="0" applyNumberFormat="0" applyBorder="0" applyAlignment="0" applyProtection="0"/>
    <xf numFmtId="0" fontId="5" fillId="0" borderId="0"/>
    <xf numFmtId="0" fontId="23" fillId="13" borderId="0" applyNumberFormat="0" applyBorder="0" applyAlignment="0" applyProtection="0"/>
    <xf numFmtId="174" fontId="5" fillId="0" borderId="0" applyFont="0" applyFill="0" applyBorder="0" applyAlignment="0" applyProtection="0">
      <alignment horizontal="left"/>
    </xf>
    <xf numFmtId="0" fontId="33" fillId="9" borderId="2"/>
    <xf numFmtId="0" fontId="2" fillId="0" borderId="0"/>
    <xf numFmtId="0" fontId="23" fillId="11" borderId="24" applyNumberFormat="0" applyFont="0" applyAlignment="0" applyProtection="0"/>
    <xf numFmtId="0" fontId="6" fillId="0" borderId="0"/>
    <xf numFmtId="173" fontId="5" fillId="0" borderId="0" applyFont="0" applyFill="0" applyBorder="0" applyAlignment="0" applyProtection="0">
      <alignment horizontal="left"/>
    </xf>
    <xf numFmtId="0" fontId="31" fillId="14" borderId="0" applyNumberFormat="0" applyBorder="0" applyAlignment="0" applyProtection="0"/>
    <xf numFmtId="0" fontId="36" fillId="5" borderId="0" applyNumberFormat="0" applyBorder="0" applyAlignment="0" applyProtection="0"/>
    <xf numFmtId="0" fontId="23" fillId="10" borderId="0" applyNumberFormat="0" applyBorder="0" applyAlignment="0" applyProtection="0"/>
    <xf numFmtId="0" fontId="23" fillId="6" borderId="0" applyNumberFormat="0" applyBorder="0" applyAlignment="0" applyProtection="0"/>
    <xf numFmtId="0" fontId="35" fillId="8" borderId="22" applyNumberFormat="0" applyAlignment="0" applyProtection="0"/>
    <xf numFmtId="0" fontId="33" fillId="9" borderId="2"/>
    <xf numFmtId="0" fontId="23" fillId="7" borderId="0" applyNumberFormat="0" applyBorder="0" applyAlignment="0" applyProtection="0"/>
    <xf numFmtId="9" fontId="5" fillId="0" borderId="0" applyFont="0" applyFill="0" applyBorder="0" applyAlignment="0" applyProtection="0"/>
    <xf numFmtId="0" fontId="21" fillId="10" borderId="22" applyNumberFormat="0" applyAlignment="0" applyProtection="0"/>
    <xf numFmtId="0" fontId="36" fillId="15" borderId="0" applyNumberFormat="0" applyBorder="0" applyAlignment="0" applyProtection="0"/>
    <xf numFmtId="0" fontId="43" fillId="0" borderId="0" applyNumberFormat="0" applyFill="0" applyBorder="0" applyAlignment="0" applyProtection="0">
      <alignment vertical="top"/>
      <protection locked="0"/>
    </xf>
    <xf numFmtId="168" fontId="42" fillId="0" borderId="0" applyFill="0" applyBorder="0" applyAlignment="0" applyProtection="0"/>
    <xf numFmtId="0" fontId="2" fillId="0" borderId="0"/>
    <xf numFmtId="0" fontId="36" fillId="16" borderId="0" applyNumberFormat="0" applyBorder="0" applyAlignment="0" applyProtection="0"/>
    <xf numFmtId="0" fontId="23" fillId="11" borderId="24" applyNumberFormat="0" applyFont="0" applyAlignment="0" applyProtection="0"/>
    <xf numFmtId="0" fontId="35" fillId="8" borderId="22" applyNumberFormat="0" applyAlignment="0" applyProtection="0"/>
    <xf numFmtId="0" fontId="5" fillId="0" borderId="0"/>
    <xf numFmtId="0" fontId="28" fillId="8" borderId="25" applyNumberFormat="0" applyAlignment="0" applyProtection="0"/>
    <xf numFmtId="43" fontId="5" fillId="0" borderId="0" applyFont="0" applyFill="0" applyBorder="0" applyAlignment="0" applyProtection="0"/>
    <xf numFmtId="0" fontId="41" fillId="0" borderId="26" applyNumberFormat="0" applyFill="0" applyAlignment="0" applyProtection="0"/>
    <xf numFmtId="0" fontId="6" fillId="0" borderId="0"/>
    <xf numFmtId="0" fontId="35" fillId="8" borderId="22" applyNumberFormat="0" applyAlignment="0" applyProtection="0"/>
    <xf numFmtId="9" fontId="2" fillId="0" borderId="0" applyFont="0" applyFill="0" applyBorder="0" applyAlignment="0" applyProtection="0"/>
    <xf numFmtId="0" fontId="21" fillId="10" borderId="22" applyNumberFormat="0" applyAlignment="0" applyProtection="0"/>
    <xf numFmtId="0" fontId="36" fillId="12" borderId="0" applyNumberFormat="0" applyBorder="0" applyAlignment="0" applyProtection="0"/>
    <xf numFmtId="0" fontId="36" fillId="16" borderId="0" applyNumberFormat="0" applyBorder="0" applyAlignment="0" applyProtection="0"/>
    <xf numFmtId="9" fontId="5" fillId="0" borderId="0" applyFont="0" applyFill="0" applyBorder="0" applyAlignment="0" applyProtection="0"/>
    <xf numFmtId="0" fontId="35" fillId="8" borderId="22" applyNumberFormat="0" applyAlignment="0" applyProtection="0"/>
    <xf numFmtId="176" fontId="42" fillId="0" borderId="0" applyFont="0" applyFill="0" applyBorder="0" applyAlignment="0" applyProtection="0"/>
    <xf numFmtId="170" fontId="5" fillId="0" borderId="0" applyFont="0" applyFill="0" applyBorder="0" applyAlignment="0" applyProtection="0"/>
    <xf numFmtId="0" fontId="21" fillId="10" borderId="22" applyNumberFormat="0" applyAlignment="0" applyProtection="0"/>
    <xf numFmtId="0" fontId="2" fillId="0" borderId="0"/>
    <xf numFmtId="0" fontId="23" fillId="17" borderId="0" applyNumberFormat="0" applyBorder="0" applyAlignment="0" applyProtection="0"/>
    <xf numFmtId="4" fontId="29" fillId="0" borderId="27" applyFill="0" applyBorder="0" applyProtection="0">
      <alignment horizontal="right" vertical="center"/>
    </xf>
    <xf numFmtId="0" fontId="32" fillId="9" borderId="23" applyNumberFormat="0" applyAlignment="0" applyProtection="0"/>
    <xf numFmtId="0" fontId="21" fillId="10" borderId="22" applyNumberFormat="0" applyAlignment="0" applyProtection="0"/>
    <xf numFmtId="43" fontId="6" fillId="0" borderId="0" applyFont="0" applyFill="0" applyBorder="0" applyAlignment="0" applyProtection="0"/>
    <xf numFmtId="0" fontId="6" fillId="0" borderId="0"/>
    <xf numFmtId="0" fontId="18" fillId="0" borderId="28" applyNumberFormat="0" applyFill="0" applyAlignment="0" applyProtection="0"/>
    <xf numFmtId="0" fontId="23" fillId="10" borderId="0" applyNumberFormat="0" applyBorder="0" applyAlignment="0" applyProtection="0"/>
    <xf numFmtId="0" fontId="23" fillId="17" borderId="0" applyNumberFormat="0" applyBorder="0" applyAlignment="0" applyProtection="0"/>
    <xf numFmtId="0" fontId="24" fillId="0" borderId="0" applyNumberFormat="0" applyFill="0" applyBorder="0" applyAlignment="0" applyProtection="0"/>
    <xf numFmtId="0" fontId="32" fillId="9" borderId="23" applyNumberFormat="0" applyAlignment="0" applyProtection="0"/>
    <xf numFmtId="0" fontId="36" fillId="4" borderId="0" applyNumberFormat="0" applyBorder="0" applyAlignment="0" applyProtection="0"/>
    <xf numFmtId="0" fontId="34" fillId="14" borderId="0">
      <alignment horizontal="left" vertical="center" indent="1"/>
    </xf>
    <xf numFmtId="0" fontId="36" fillId="15" borderId="0" applyNumberFormat="0" applyBorder="0" applyAlignment="0" applyProtection="0"/>
    <xf numFmtId="0" fontId="23" fillId="6" borderId="0" applyNumberFormat="0" applyBorder="0" applyAlignment="0" applyProtection="0"/>
    <xf numFmtId="4" fontId="33" fillId="13" borderId="2">
      <alignment horizontal="right" vertical="center"/>
    </xf>
    <xf numFmtId="0" fontId="36" fillId="18" borderId="0" applyNumberFormat="0" applyBorder="0" applyAlignment="0" applyProtection="0"/>
    <xf numFmtId="0" fontId="17" fillId="0" borderId="0"/>
    <xf numFmtId="0" fontId="12" fillId="0" borderId="0">
      <alignment horizontal="left"/>
    </xf>
    <xf numFmtId="0" fontId="28" fillId="8" borderId="25" applyNumberFormat="0" applyAlignment="0" applyProtection="0"/>
    <xf numFmtId="0" fontId="21" fillId="10" borderId="22" applyNumberFormat="0" applyAlignment="0" applyProtection="0"/>
    <xf numFmtId="0" fontId="6" fillId="0" borderId="0"/>
    <xf numFmtId="0" fontId="6" fillId="0" borderId="0"/>
    <xf numFmtId="0" fontId="36" fillId="16" borderId="0" applyNumberFormat="0" applyBorder="0" applyAlignment="0" applyProtection="0"/>
    <xf numFmtId="9" fontId="6" fillId="0" borderId="0" applyFont="0" applyFill="0" applyBorder="0" applyAlignment="0" applyProtection="0"/>
    <xf numFmtId="0" fontId="21" fillId="10" borderId="22" applyNumberFormat="0" applyAlignment="0" applyProtection="0"/>
    <xf numFmtId="0" fontId="41" fillId="0" borderId="0" applyNumberFormat="0" applyFill="0" applyBorder="0" applyAlignment="0" applyProtection="0"/>
    <xf numFmtId="0" fontId="36" fillId="16" borderId="0" applyNumberFormat="0" applyBorder="0" applyAlignment="0" applyProtection="0"/>
    <xf numFmtId="0" fontId="23" fillId="13" borderId="0" applyNumberFormat="0" applyBorder="0" applyAlignment="0" applyProtection="0"/>
    <xf numFmtId="0" fontId="36" fillId="19" borderId="0" applyNumberFormat="0" applyBorder="0" applyAlignment="0" applyProtection="0"/>
    <xf numFmtId="0" fontId="23" fillId="7" borderId="0" applyNumberFormat="0" applyBorder="0" applyAlignment="0" applyProtection="0"/>
    <xf numFmtId="0" fontId="23" fillId="11" borderId="24" applyNumberFormat="0" applyFont="0" applyAlignment="0" applyProtection="0"/>
    <xf numFmtId="0" fontId="6" fillId="0" borderId="0"/>
    <xf numFmtId="44" fontId="5" fillId="0" borderId="0" applyFont="0" applyFill="0" applyBorder="0" applyAlignment="0" applyProtection="0"/>
    <xf numFmtId="0" fontId="36" fillId="18" borderId="0" applyNumberFormat="0" applyBorder="0" applyAlignment="0" applyProtection="0"/>
    <xf numFmtId="41" fontId="5" fillId="0" borderId="0" applyFont="0" applyFill="0" applyBorder="0" applyAlignment="0" applyProtection="0">
      <alignment wrapText="1"/>
    </xf>
    <xf numFmtId="0" fontId="5" fillId="0" borderId="0"/>
    <xf numFmtId="0" fontId="36" fillId="18" borderId="0" applyNumberFormat="0" applyBorder="0" applyAlignment="0" applyProtection="0"/>
    <xf numFmtId="43" fontId="6" fillId="0" borderId="0" applyFont="0" applyFill="0" applyBorder="0" applyAlignment="0" applyProtection="0"/>
    <xf numFmtId="0" fontId="36" fillId="15" borderId="0" applyNumberFormat="0" applyBorder="0" applyAlignment="0" applyProtection="0"/>
    <xf numFmtId="0" fontId="23" fillId="21" borderId="0" applyNumberFormat="0" applyBorder="0" applyAlignment="0" applyProtection="0"/>
    <xf numFmtId="0" fontId="23" fillId="7" borderId="0" applyNumberFormat="0" applyBorder="0" applyAlignment="0" applyProtection="0"/>
    <xf numFmtId="0" fontId="36" fillId="4" borderId="0" applyNumberFormat="0" applyBorder="0" applyAlignment="0" applyProtection="0"/>
    <xf numFmtId="0" fontId="36" fillId="22" borderId="0" applyNumberFormat="0" applyBorder="0" applyAlignment="0" applyProtection="0"/>
    <xf numFmtId="0" fontId="6" fillId="0" borderId="0"/>
    <xf numFmtId="42" fontId="5" fillId="0" borderId="0" applyFont="0" applyFill="0" applyBorder="0" applyAlignment="0" applyProtection="0"/>
    <xf numFmtId="0" fontId="37" fillId="9" borderId="0" applyNumberFormat="0" applyFont="0" applyBorder="0" applyAlignment="0" applyProtection="0"/>
    <xf numFmtId="0" fontId="23" fillId="23" borderId="0" applyNumberFormat="0" applyBorder="0" applyAlignment="0" applyProtection="0"/>
    <xf numFmtId="0" fontId="6" fillId="0" borderId="0"/>
    <xf numFmtId="0" fontId="23" fillId="20" borderId="0" applyNumberFormat="0" applyBorder="0" applyAlignment="0" applyProtection="0"/>
    <xf numFmtId="0" fontId="2" fillId="0" borderId="0"/>
    <xf numFmtId="0" fontId="35" fillId="8" borderId="22" applyNumberFormat="0" applyAlignment="0" applyProtection="0"/>
    <xf numFmtId="0" fontId="35" fillId="8" borderId="22" applyNumberFormat="0" applyAlignment="0" applyProtection="0"/>
    <xf numFmtId="0" fontId="36" fillId="24" borderId="0" applyNumberFormat="0" applyBorder="0" applyAlignment="0" applyProtection="0"/>
    <xf numFmtId="9" fontId="6" fillId="0" borderId="0" applyFont="0" applyFill="0" applyBorder="0" applyAlignment="0" applyProtection="0"/>
    <xf numFmtId="0" fontId="23" fillId="23" borderId="0" applyNumberFormat="0" applyBorder="0" applyAlignment="0" applyProtection="0"/>
    <xf numFmtId="0" fontId="36" fillId="4" borderId="0" applyNumberFormat="0" applyBorder="0" applyAlignment="0" applyProtection="0"/>
    <xf numFmtId="0" fontId="35" fillId="8" borderId="22" applyNumberFormat="0" applyAlignment="0" applyProtection="0"/>
    <xf numFmtId="0" fontId="37" fillId="0" borderId="0" applyNumberFormat="0" applyFont="0" applyFill="0" applyBorder="0" applyProtection="0">
      <alignment horizontal="left" vertical="center" indent="5"/>
    </xf>
    <xf numFmtId="43" fontId="5" fillId="0" borderId="0" applyFont="0" applyFill="0" applyBorder="0" applyAlignment="0" applyProtection="0">
      <alignment wrapText="1"/>
    </xf>
    <xf numFmtId="9" fontId="16" fillId="0" borderId="0" applyFont="0" applyFill="0" applyBorder="0" applyAlignment="0" applyProtection="0"/>
    <xf numFmtId="0" fontId="36" fillId="12" borderId="0" applyNumberFormat="0" applyBorder="0" applyAlignment="0" applyProtection="0"/>
    <xf numFmtId="0" fontId="36" fillId="5" borderId="0" applyNumberFormat="0" applyBorder="0" applyAlignment="0" applyProtection="0"/>
    <xf numFmtId="0" fontId="23" fillId="7" borderId="0" applyNumberFormat="0" applyBorder="0" applyAlignment="0" applyProtection="0"/>
    <xf numFmtId="0" fontId="31" fillId="14" borderId="0" applyNumberFormat="0" applyBorder="0" applyAlignment="0" applyProtection="0"/>
    <xf numFmtId="0" fontId="23" fillId="13" borderId="0" applyNumberFormat="0" applyBorder="0" applyAlignment="0" applyProtection="0"/>
    <xf numFmtId="0" fontId="26" fillId="0" borderId="0">
      <alignment horizontal="left" vertical="top"/>
    </xf>
    <xf numFmtId="0" fontId="5" fillId="0" borderId="0"/>
    <xf numFmtId="0" fontId="23" fillId="11" borderId="24" applyNumberFormat="0" applyFont="0" applyAlignment="0" applyProtection="0"/>
    <xf numFmtId="0" fontId="15" fillId="0" borderId="0">
      <alignment horizontal="left"/>
    </xf>
    <xf numFmtId="164" fontId="5" fillId="0" borderId="0" applyFont="0" applyFill="0" applyBorder="0" applyAlignment="0" applyProtection="0">
      <alignment horizontal="left"/>
    </xf>
    <xf numFmtId="9" fontId="2" fillId="0" borderId="0" applyFont="0" applyFill="0" applyBorder="0" applyAlignment="0" applyProtection="0"/>
    <xf numFmtId="0" fontId="6" fillId="0" borderId="0"/>
    <xf numFmtId="0" fontId="5" fillId="0" borderId="0"/>
    <xf numFmtId="0" fontId="35" fillId="8" borderId="22" applyNumberFormat="0" applyAlignment="0" applyProtection="0"/>
    <xf numFmtId="0" fontId="6" fillId="0" borderId="0"/>
    <xf numFmtId="0" fontId="23" fillId="7" borderId="0" applyNumberFormat="0" applyBorder="0" applyAlignment="0" applyProtection="0"/>
    <xf numFmtId="9" fontId="2" fillId="0" borderId="0" applyFont="0" applyFill="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5" borderId="0" applyNumberFormat="0" applyBorder="0" applyAlignment="0" applyProtection="0"/>
    <xf numFmtId="168" fontId="25" fillId="0" borderId="0">
      <alignment horizontal="left" vertical="center"/>
    </xf>
    <xf numFmtId="173" fontId="5" fillId="0" borderId="0" applyFont="0" applyFill="0" applyBorder="0" applyAlignment="0" applyProtection="0">
      <alignment horizontal="left"/>
    </xf>
    <xf numFmtId="4" fontId="33" fillId="0" borderId="0"/>
    <xf numFmtId="0" fontId="40" fillId="0" borderId="29" applyNumberFormat="0" applyFill="0" applyAlignment="0" applyProtection="0"/>
    <xf numFmtId="0" fontId="38" fillId="0" borderId="21" applyNumberFormat="0" applyFill="0" applyAlignment="0" applyProtection="0"/>
    <xf numFmtId="0" fontId="30" fillId="23" borderId="0" applyNumberFormat="0" applyBorder="0" applyAlignment="0" applyProtection="0"/>
    <xf numFmtId="0" fontId="23" fillId="10" borderId="0" applyNumberFormat="0" applyBorder="0" applyAlignment="0" applyProtection="0"/>
    <xf numFmtId="13" fontId="5" fillId="0" borderId="0" applyFont="0" applyFill="0" applyProtection="0"/>
    <xf numFmtId="0" fontId="11" fillId="0" borderId="0"/>
    <xf numFmtId="0" fontId="2" fillId="0" borderId="0"/>
    <xf numFmtId="0" fontId="36" fillId="16" borderId="0" applyNumberFormat="0" applyBorder="0" applyAlignment="0" applyProtection="0"/>
    <xf numFmtId="49" fontId="5" fillId="0" borderId="0" applyFill="0" applyBorder="0" applyProtection="0">
      <alignment horizontal="left"/>
    </xf>
    <xf numFmtId="0" fontId="36" fillId="22" borderId="0" applyNumberFormat="0" applyBorder="0" applyAlignment="0" applyProtection="0"/>
    <xf numFmtId="49" fontId="5" fillId="0" borderId="0" applyFill="0" applyBorder="0" applyProtection="0">
      <alignment horizontal="left"/>
    </xf>
    <xf numFmtId="0" fontId="23" fillId="11" borderId="24" applyNumberFormat="0" applyFont="0" applyAlignment="0" applyProtection="0"/>
    <xf numFmtId="0" fontId="5" fillId="0" borderId="0"/>
    <xf numFmtId="41" fontId="5" fillId="0" borderId="0" applyFont="0" applyFill="0" applyBorder="0" applyAlignment="0" applyProtection="0"/>
    <xf numFmtId="0" fontId="6" fillId="0" borderId="0"/>
    <xf numFmtId="0" fontId="23" fillId="5" borderId="0" applyNumberFormat="0" applyBorder="0" applyAlignment="0" applyProtection="0"/>
    <xf numFmtId="0" fontId="23" fillId="21" borderId="0" applyNumberFormat="0" applyBorder="0" applyAlignment="0" applyProtection="0"/>
    <xf numFmtId="0" fontId="23" fillId="7" borderId="0" applyNumberFormat="0" applyBorder="0" applyAlignment="0" applyProtection="0"/>
    <xf numFmtId="43" fontId="5" fillId="0" borderId="0" applyFont="0" applyFill="0" applyBorder="0" applyAlignment="0" applyProtection="0"/>
    <xf numFmtId="0" fontId="23" fillId="21" borderId="0" applyNumberFormat="0" applyBorder="0" applyAlignment="0" applyProtection="0"/>
    <xf numFmtId="9" fontId="44" fillId="0" borderId="0" applyFont="0" applyFill="0" applyBorder="0" applyAlignment="0" applyProtection="0"/>
    <xf numFmtId="0" fontId="13" fillId="0" borderId="0" applyNumberFormat="0" applyFill="0" applyBorder="0" applyAlignment="0" applyProtection="0"/>
    <xf numFmtId="0" fontId="2" fillId="0" borderId="0"/>
    <xf numFmtId="0" fontId="23" fillId="20" borderId="0" applyNumberFormat="0" applyBorder="0" applyAlignment="0" applyProtection="0"/>
    <xf numFmtId="9" fontId="5" fillId="0" borderId="0" applyFont="0" applyFill="0" applyBorder="0" applyAlignment="0" applyProtection="0"/>
    <xf numFmtId="0" fontId="23" fillId="4" borderId="0" applyNumberFormat="0" applyBorder="0" applyAlignment="0" applyProtection="0"/>
    <xf numFmtId="0" fontId="36" fillId="12" borderId="0" applyNumberFormat="0" applyBorder="0" applyAlignment="0" applyProtection="0"/>
    <xf numFmtId="0" fontId="30" fillId="23" borderId="0" applyNumberFormat="0" applyBorder="0" applyAlignment="0" applyProtection="0"/>
    <xf numFmtId="0" fontId="28" fillId="8" borderId="25" applyNumberFormat="0" applyAlignment="0" applyProtection="0"/>
    <xf numFmtId="167" fontId="5" fillId="0" borderId="0" applyFont="0" applyFill="0" applyBorder="0" applyAlignment="0" applyProtection="0"/>
    <xf numFmtId="0" fontId="30" fillId="23" borderId="0" applyNumberFormat="0" applyBorder="0" applyAlignment="0" applyProtection="0"/>
    <xf numFmtId="0" fontId="23" fillId="17" borderId="0" applyNumberFormat="0" applyBorder="0" applyAlignment="0" applyProtection="0"/>
    <xf numFmtId="0" fontId="28" fillId="8" borderId="25" applyNumberFormat="0" applyAlignment="0" applyProtection="0"/>
    <xf numFmtId="167" fontId="5" fillId="0" borderId="0" applyFont="0" applyFill="0" applyBorder="0" applyAlignment="0" applyProtection="0"/>
    <xf numFmtId="174" fontId="5" fillId="0" borderId="0" applyFont="0" applyFill="0" applyBorder="0" applyAlignment="0" applyProtection="0">
      <alignment horizontal="left"/>
    </xf>
    <xf numFmtId="164" fontId="5" fillId="0" borderId="0" applyFont="0" applyFill="0" applyBorder="0" applyAlignment="0" applyProtection="0">
      <alignment horizontal="left"/>
    </xf>
    <xf numFmtId="0" fontId="28" fillId="8" borderId="25" applyNumberFormat="0" applyAlignment="0" applyProtection="0"/>
    <xf numFmtId="0" fontId="36" fillId="5" borderId="0" applyNumberFormat="0" applyBorder="0" applyAlignment="0" applyProtection="0"/>
    <xf numFmtId="0" fontId="2" fillId="0" borderId="0"/>
    <xf numFmtId="43" fontId="5" fillId="0" borderId="0" applyFont="0" applyFill="0" applyBorder="0" applyAlignment="0" applyProtection="0"/>
    <xf numFmtId="0" fontId="23" fillId="23" borderId="0" applyNumberFormat="0" applyBorder="0" applyAlignment="0" applyProtection="0"/>
    <xf numFmtId="0" fontId="28" fillId="8" borderId="25" applyNumberFormat="0" applyAlignment="0" applyProtection="0"/>
    <xf numFmtId="175" fontId="39" fillId="26" borderId="0" applyNumberFormat="0" applyBorder="0">
      <protection locked="0"/>
    </xf>
    <xf numFmtId="0" fontId="27" fillId="20" borderId="0" applyNumberFormat="0" applyBorder="0" applyAlignment="0" applyProtection="0"/>
    <xf numFmtId="171" fontId="5" fillId="0" borderId="0" applyFont="0" applyFill="0" applyBorder="0" applyAlignment="0" applyProtection="0"/>
    <xf numFmtId="0" fontId="36" fillId="16" borderId="0" applyNumberFormat="0" applyBorder="0" applyAlignment="0" applyProtection="0"/>
    <xf numFmtId="177" fontId="42" fillId="0" borderId="0" applyFont="0" applyFill="0" applyBorder="0" applyAlignment="0" applyProtection="0"/>
    <xf numFmtId="0" fontId="23" fillId="6" borderId="0" applyNumberFormat="0" applyBorder="0" applyAlignment="0" applyProtection="0"/>
    <xf numFmtId="0" fontId="6" fillId="0" borderId="0"/>
    <xf numFmtId="0" fontId="6" fillId="0" borderId="0"/>
    <xf numFmtId="0" fontId="27" fillId="20" borderId="0" applyNumberFormat="0" applyBorder="0" applyAlignment="0" applyProtection="0"/>
    <xf numFmtId="0" fontId="36" fillId="15" borderId="0" applyNumberFormat="0" applyBorder="0" applyAlignment="0" applyProtection="0"/>
    <xf numFmtId="0" fontId="23" fillId="17" borderId="0" applyNumberFormat="0" applyBorder="0" applyAlignment="0" applyProtection="0"/>
    <xf numFmtId="0" fontId="36" fillId="25" borderId="0" applyNumberFormat="0" applyBorder="0" applyAlignment="0" applyProtection="0"/>
    <xf numFmtId="0" fontId="23" fillId="5" borderId="0" applyNumberFormat="0" applyBorder="0" applyAlignment="0" applyProtection="0"/>
    <xf numFmtId="4" fontId="33" fillId="0" borderId="11">
      <alignment horizontal="right" vertical="center"/>
    </xf>
    <xf numFmtId="0" fontId="6" fillId="0" borderId="0"/>
    <xf numFmtId="0" fontId="23" fillId="17" borderId="0" applyNumberFormat="0" applyBorder="0" applyAlignment="0" applyProtection="0"/>
    <xf numFmtId="0" fontId="28" fillId="8" borderId="25" applyNumberFormat="0" applyAlignment="0" applyProtection="0"/>
    <xf numFmtId="0" fontId="36" fillId="18" borderId="0" applyNumberFormat="0" applyBorder="0" applyAlignment="0" applyProtection="0"/>
    <xf numFmtId="0" fontId="36" fillId="16" borderId="0" applyNumberFormat="0" applyBorder="0" applyAlignment="0" applyProtection="0"/>
    <xf numFmtId="172" fontId="5" fillId="0" borderId="0" applyFont="0" applyFill="0" applyBorder="0" applyAlignment="0" applyProtection="0"/>
    <xf numFmtId="0" fontId="23" fillId="23" borderId="0" applyNumberFormat="0" applyBorder="0" applyAlignment="0" applyProtection="0"/>
    <xf numFmtId="9" fontId="2" fillId="0" borderId="0" applyFont="0" applyFill="0" applyBorder="0" applyAlignment="0" applyProtection="0"/>
    <xf numFmtId="0" fontId="35" fillId="8" borderId="22" applyNumberFormat="0" applyAlignment="0" applyProtection="0"/>
    <xf numFmtId="43" fontId="5" fillId="0" borderId="0" applyFont="0" applyFill="0" applyBorder="0" applyAlignment="0" applyProtection="0"/>
    <xf numFmtId="0" fontId="5" fillId="0" borderId="0"/>
    <xf numFmtId="0" fontId="23" fillId="4" borderId="0" applyNumberFormat="0" applyBorder="0" applyAlignment="0" applyProtection="0"/>
    <xf numFmtId="9" fontId="2" fillId="0" borderId="0" applyFont="0" applyFill="0" applyBorder="0" applyAlignment="0" applyProtection="0"/>
    <xf numFmtId="0" fontId="5" fillId="14" borderId="0" applyNumberFormat="0" applyFont="0" applyBorder="0" applyAlignment="0"/>
    <xf numFmtId="0" fontId="27" fillId="20" borderId="0" applyNumberFormat="0" applyBorder="0" applyAlignment="0" applyProtection="0"/>
    <xf numFmtId="0" fontId="31" fillId="14" borderId="0" applyNumberFormat="0" applyBorder="0" applyAlignment="0" applyProtection="0"/>
    <xf numFmtId="173" fontId="5" fillId="0" borderId="0" applyFont="0" applyFill="0" applyBorder="0" applyAlignment="0" applyProtection="0">
      <alignment horizontal="left"/>
    </xf>
    <xf numFmtId="0" fontId="5" fillId="0" borderId="0"/>
    <xf numFmtId="0" fontId="35" fillId="8" borderId="22" applyNumberFormat="0" applyAlignment="0" applyProtection="0"/>
    <xf numFmtId="174" fontId="5" fillId="0" borderId="0" applyFont="0" applyFill="0" applyBorder="0" applyAlignment="0" applyProtection="0">
      <alignment horizontal="left"/>
    </xf>
    <xf numFmtId="0" fontId="23" fillId="6" borderId="0" applyNumberFormat="0" applyBorder="0" applyAlignment="0" applyProtection="0"/>
    <xf numFmtId="0" fontId="32" fillId="9" borderId="23" applyNumberFormat="0" applyAlignment="0" applyProtection="0"/>
    <xf numFmtId="0" fontId="21" fillId="10" borderId="22" applyNumberFormat="0" applyAlignment="0" applyProtection="0"/>
    <xf numFmtId="0" fontId="36" fillId="15" borderId="0" applyNumberFormat="0" applyBorder="0" applyAlignment="0" applyProtection="0"/>
    <xf numFmtId="0" fontId="23" fillId="4" borderId="0" applyNumberFormat="0" applyBorder="0" applyAlignment="0" applyProtection="0"/>
    <xf numFmtId="0" fontId="36" fillId="22" borderId="0" applyNumberFormat="0" applyBorder="0" applyAlignment="0" applyProtection="0"/>
    <xf numFmtId="0" fontId="27" fillId="20" borderId="0" applyNumberFormat="0" applyBorder="0" applyAlignment="0" applyProtection="0"/>
    <xf numFmtId="0" fontId="21" fillId="10" borderId="22" applyNumberFormat="0" applyAlignment="0" applyProtection="0"/>
    <xf numFmtId="0" fontId="45" fillId="0" borderId="0" applyNumberFormat="0" applyFill="0" applyBorder="0" applyAlignment="0" applyProtection="0">
      <alignment vertical="top"/>
      <protection locked="0"/>
    </xf>
    <xf numFmtId="0" fontId="5" fillId="0" borderId="0"/>
    <xf numFmtId="49" fontId="5" fillId="0" borderId="0" applyFill="0" applyBorder="0" applyProtection="0">
      <alignment horizontal="left"/>
    </xf>
    <xf numFmtId="0" fontId="19" fillId="0" borderId="0" applyNumberFormat="0" applyFill="0" applyBorder="0" applyAlignment="0" applyProtection="0">
      <alignment vertical="top"/>
      <protection locked="0"/>
    </xf>
    <xf numFmtId="0" fontId="21" fillId="10" borderId="22" applyNumberFormat="0" applyAlignment="0" applyProtection="0"/>
    <xf numFmtId="0" fontId="36" fillId="15" borderId="0" applyNumberFormat="0" applyBorder="0" applyAlignment="0" applyProtection="0"/>
    <xf numFmtId="0" fontId="21" fillId="10" borderId="22" applyNumberFormat="0" applyAlignment="0" applyProtection="0"/>
    <xf numFmtId="0" fontId="36" fillId="16" borderId="0" applyNumberFormat="0" applyBorder="0" applyAlignment="0" applyProtection="0"/>
    <xf numFmtId="0" fontId="36" fillId="24" borderId="0" applyNumberFormat="0" applyBorder="0" applyAlignment="0" applyProtection="0"/>
    <xf numFmtId="9" fontId="16" fillId="0" borderId="0" applyFont="0" applyFill="0" applyBorder="0" applyAlignment="0" applyProtection="0"/>
    <xf numFmtId="0" fontId="5" fillId="0" borderId="0"/>
    <xf numFmtId="0" fontId="36" fillId="24" borderId="0" applyNumberFormat="0" applyBorder="0" applyAlignment="0" applyProtection="0"/>
    <xf numFmtId="0" fontId="23" fillId="17" borderId="0" applyNumberFormat="0" applyBorder="0" applyAlignment="0" applyProtection="0"/>
    <xf numFmtId="0" fontId="23" fillId="5" borderId="0" applyNumberFormat="0" applyBorder="0" applyAlignment="0" applyProtection="0"/>
    <xf numFmtId="0" fontId="36" fillId="25" borderId="0" applyNumberFormat="0" applyBorder="0" applyAlignment="0" applyProtection="0"/>
    <xf numFmtId="0" fontId="23" fillId="17" borderId="0" applyNumberFormat="0" applyBorder="0" applyAlignment="0" applyProtection="0"/>
    <xf numFmtId="0" fontId="36" fillId="22" borderId="0" applyNumberFormat="0" applyBorder="0" applyAlignment="0" applyProtection="0"/>
    <xf numFmtId="0" fontId="23" fillId="21" borderId="0" applyNumberFormat="0" applyBorder="0" applyAlignment="0" applyProtection="0"/>
    <xf numFmtId="164" fontId="5" fillId="0" borderId="0" applyFont="0" applyFill="0" applyBorder="0" applyAlignment="0" applyProtection="0">
      <alignment horizontal="left"/>
    </xf>
    <xf numFmtId="0" fontId="22" fillId="0" borderId="30" applyNumberFormat="0" applyFill="0" applyAlignment="0" applyProtection="0"/>
    <xf numFmtId="0" fontId="14" fillId="0" borderId="0" applyNumberFormat="0" applyFill="0" applyBorder="0" applyAlignment="0" applyProtection="0"/>
    <xf numFmtId="0" fontId="28" fillId="8" borderId="25" applyNumberFormat="0" applyAlignment="0" applyProtection="0"/>
    <xf numFmtId="0" fontId="21" fillId="10" borderId="22" applyNumberFormat="0" applyAlignment="0" applyProtection="0"/>
    <xf numFmtId="0" fontId="36" fillId="19" borderId="0" applyNumberFormat="0" applyBorder="0" applyAlignment="0" applyProtection="0"/>
    <xf numFmtId="0" fontId="36" fillId="25" borderId="0" applyNumberFormat="0" applyBorder="0" applyAlignment="0" applyProtection="0"/>
    <xf numFmtId="0" fontId="31" fillId="14" borderId="0" applyNumberFormat="0" applyBorder="0" applyAlignment="0" applyProtection="0"/>
    <xf numFmtId="0" fontId="15" fillId="0" borderId="0">
      <alignment horizontal="right"/>
    </xf>
    <xf numFmtId="0" fontId="30" fillId="23" borderId="0" applyNumberFormat="0" applyBorder="0" applyAlignment="0" applyProtection="0"/>
    <xf numFmtId="0" fontId="18" fillId="0" borderId="28" applyNumberFormat="0" applyFill="0" applyAlignment="0" applyProtection="0"/>
    <xf numFmtId="0" fontId="32" fillId="9" borderId="23" applyNumberFormat="0" applyAlignment="0" applyProtection="0"/>
    <xf numFmtId="0" fontId="43" fillId="0" borderId="0" applyNumberFormat="0" applyFill="0" applyBorder="0" applyAlignment="0" applyProtection="0">
      <alignment vertical="top"/>
      <protection locked="0"/>
    </xf>
    <xf numFmtId="0" fontId="36" fillId="19"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175" fontId="20" fillId="27" borderId="0" applyNumberFormat="0" applyBorder="0">
      <protection locked="0"/>
    </xf>
    <xf numFmtId="0" fontId="2" fillId="0" borderId="0"/>
    <xf numFmtId="0" fontId="46" fillId="0" borderId="0" applyNumberFormat="0" applyFill="0" applyBorder="0" applyAlignment="0" applyProtection="0"/>
    <xf numFmtId="0" fontId="6" fillId="0" borderId="0"/>
    <xf numFmtId="0" fontId="23" fillId="20" borderId="0" applyNumberFormat="0" applyBorder="0" applyAlignment="0" applyProtection="0"/>
    <xf numFmtId="174" fontId="5" fillId="0" borderId="0" applyFont="0" applyFill="0" applyBorder="0" applyAlignment="0" applyProtection="0">
      <alignment horizontal="left"/>
    </xf>
    <xf numFmtId="0" fontId="36" fillId="15" borderId="0" applyNumberFormat="0" applyBorder="0" applyAlignment="0" applyProtection="0"/>
    <xf numFmtId="0" fontId="6" fillId="0" borderId="0"/>
    <xf numFmtId="0" fontId="23" fillId="17" borderId="0" applyNumberFormat="0" applyBorder="0" applyAlignment="0" applyProtection="0"/>
    <xf numFmtId="173" fontId="5" fillId="0" borderId="0" applyFont="0" applyFill="0" applyBorder="0" applyAlignment="0" applyProtection="0">
      <alignment horizontal="left"/>
    </xf>
    <xf numFmtId="0" fontId="6" fillId="0" borderId="0"/>
    <xf numFmtId="0" fontId="33" fillId="9" borderId="2"/>
    <xf numFmtId="0" fontId="23" fillId="11" borderId="24" applyNumberFormat="0" applyFont="0" applyAlignment="0" applyProtection="0"/>
    <xf numFmtId="0" fontId="23" fillId="11" borderId="24" applyNumberFormat="0" applyFont="0" applyAlignment="0" applyProtection="0"/>
    <xf numFmtId="0" fontId="23" fillId="10" borderId="0" applyNumberFormat="0" applyBorder="0" applyAlignment="0" applyProtection="0"/>
    <xf numFmtId="0" fontId="36" fillId="19" borderId="0" applyNumberFormat="0" applyBorder="0" applyAlignment="0" applyProtection="0"/>
    <xf numFmtId="0" fontId="5" fillId="0" borderId="0"/>
    <xf numFmtId="0" fontId="35" fillId="8" borderId="22" applyNumberFormat="0" applyAlignment="0" applyProtection="0"/>
    <xf numFmtId="0" fontId="56" fillId="0" borderId="0" applyNumberFormat="0" applyFill="0" applyBorder="0" applyAlignment="0" applyProtection="0"/>
    <xf numFmtId="0" fontId="57" fillId="35" borderId="0" applyNumberFormat="0" applyBorder="0" applyAlignment="0" applyProtection="0"/>
    <xf numFmtId="0" fontId="58" fillId="36" borderId="0" applyNumberFormat="0" applyBorder="0" applyAlignment="0" applyProtection="0"/>
    <xf numFmtId="0" fontId="59" fillId="37" borderId="0" applyNumberFormat="0" applyBorder="0" applyAlignment="0" applyProtection="0"/>
    <xf numFmtId="0" fontId="60" fillId="38" borderId="82" applyNumberFormat="0" applyAlignment="0" applyProtection="0"/>
    <xf numFmtId="0" fontId="6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6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6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6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6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6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44" fillId="0" borderId="0"/>
    <xf numFmtId="0" fontId="5" fillId="64" borderId="84" applyNumberFormat="0" applyAlignment="0" applyProtection="0"/>
    <xf numFmtId="0" fontId="63" fillId="65" borderId="85" applyNumberFormat="0" applyProtection="0">
      <alignment vertical="center"/>
    </xf>
    <xf numFmtId="43" fontId="44" fillId="0" borderId="0" applyFont="0" applyFill="0" applyBorder="0" applyAlignment="0" applyProtection="0"/>
    <xf numFmtId="43" fontId="44" fillId="0" borderId="0" applyFon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2" fillId="0" borderId="0" applyNumberFormat="0" applyFill="0" applyBorder="0" applyAlignment="0" applyProtection="0">
      <alignment vertical="top"/>
      <protection locked="0"/>
    </xf>
    <xf numFmtId="0" fontId="5" fillId="66" borderId="81" applyNumberFormat="0" applyBorder="0" applyAlignment="0" applyProtection="0"/>
    <xf numFmtId="0" fontId="5" fillId="67" borderId="0">
      <alignment vertical="center"/>
    </xf>
    <xf numFmtId="0" fontId="5" fillId="68" borderId="86" applyNumberFormat="0" applyAlignment="0" applyProtection="0"/>
    <xf numFmtId="0" fontId="44" fillId="39" borderId="83" applyNumberFormat="0" applyFont="0" applyAlignment="0" applyProtection="0"/>
    <xf numFmtId="0" fontId="66" fillId="69" borderId="87" applyNumberFormat="0" applyAlignment="0" applyProtection="0"/>
    <xf numFmtId="9" fontId="2" fillId="0" borderId="0" applyFont="0" applyFill="0" applyBorder="0" applyAlignment="0" applyProtection="0"/>
    <xf numFmtId="0" fontId="5" fillId="70" borderId="88" applyNumberFormat="0" applyProtection="0">
      <alignment vertical="center"/>
    </xf>
    <xf numFmtId="0" fontId="66" fillId="71" borderId="0" applyNumberFormat="0" applyBorder="0" applyAlignment="0" applyProtection="0"/>
  </cellStyleXfs>
  <cellXfs count="318">
    <xf numFmtId="0" fontId="0" fillId="0" borderId="0" xfId="0"/>
    <xf numFmtId="0" fontId="0" fillId="0" borderId="0" xfId="0" applyAlignment="1">
      <alignment vertical="center"/>
    </xf>
    <xf numFmtId="164" fontId="0" fillId="0" borderId="2" xfId="0" applyNumberFormat="1" applyBorder="1" applyAlignment="1">
      <alignment horizontal="center"/>
    </xf>
    <xf numFmtId="0" fontId="3" fillId="0" borderId="0" xfId="1" applyAlignment="1"/>
    <xf numFmtId="164" fontId="0" fillId="3" borderId="2" xfId="0" applyNumberFormat="1" applyFill="1" applyBorder="1" applyAlignment="1">
      <alignment horizontal="center"/>
    </xf>
    <xf numFmtId="0" fontId="7" fillId="0" borderId="0" xfId="0" applyFont="1" applyAlignment="1">
      <alignment vertical="center"/>
    </xf>
    <xf numFmtId="0" fontId="10" fillId="0" borderId="0" xfId="0" applyFont="1" applyBorder="1" applyAlignment="1"/>
    <xf numFmtId="164" fontId="0" fillId="0" borderId="2" xfId="0" applyNumberFormat="1" applyFill="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0" fillId="0" borderId="0" xfId="0" applyFont="1" applyAlignment="1">
      <alignment vertical="center"/>
    </xf>
    <xf numFmtId="0" fontId="0" fillId="0" borderId="0" xfId="0" applyFont="1"/>
    <xf numFmtId="0" fontId="47" fillId="28" borderId="0" xfId="0" applyFont="1" applyFill="1" applyBorder="1" applyAlignment="1" applyProtection="1">
      <alignment horizontal="center" vertical="center"/>
      <protection locked="0"/>
    </xf>
    <xf numFmtId="0" fontId="0" fillId="30" borderId="0" xfId="0" applyFill="1" applyBorder="1" applyAlignment="1" applyProtection="1">
      <alignment horizontal="center" vertical="center"/>
      <protection locked="0"/>
    </xf>
    <xf numFmtId="14" fontId="0" fillId="30" borderId="0" xfId="0" applyNumberFormat="1" applyFill="1" applyBorder="1" applyAlignment="1" applyProtection="1">
      <alignment horizontal="center" vertical="center"/>
      <protection locked="0"/>
    </xf>
    <xf numFmtId="0" fontId="47" fillId="28" borderId="0" xfId="0" applyFont="1" applyFill="1" applyBorder="1" applyProtection="1">
      <protection locked="0"/>
    </xf>
    <xf numFmtId="0" fontId="8" fillId="28" borderId="2" xfId="0" applyFont="1" applyFill="1" applyBorder="1" applyAlignment="1">
      <alignment horizontal="center" vertical="center"/>
    </xf>
    <xf numFmtId="0" fontId="0" fillId="31" borderId="2" xfId="0" applyFont="1" applyFill="1" applyBorder="1" applyAlignment="1">
      <alignment vertical="center"/>
    </xf>
    <xf numFmtId="0" fontId="47" fillId="28" borderId="2" xfId="0" applyFont="1" applyFill="1" applyBorder="1" applyAlignment="1" applyProtection="1">
      <alignment horizontal="center" vertical="center"/>
      <protection locked="0"/>
    </xf>
    <xf numFmtId="4" fontId="0" fillId="30" borderId="2" xfId="0" applyNumberFormat="1" applyFill="1" applyBorder="1" applyAlignment="1" applyProtection="1">
      <alignment horizontal="center" vertical="center"/>
      <protection locked="0"/>
    </xf>
    <xf numFmtId="0" fontId="0" fillId="31" borderId="20" xfId="0" applyFont="1" applyFill="1" applyBorder="1" applyAlignment="1">
      <alignment vertical="center"/>
    </xf>
    <xf numFmtId="0" fontId="8" fillId="28" borderId="6" xfId="0" applyFont="1" applyFill="1" applyBorder="1" applyAlignment="1">
      <alignment horizontal="center" vertical="center"/>
    </xf>
    <xf numFmtId="0" fontId="8" fillId="28" borderId="7" xfId="0" applyFont="1" applyFill="1" applyBorder="1" applyAlignment="1">
      <alignment vertical="center" wrapText="1"/>
    </xf>
    <xf numFmtId="0" fontId="8" fillId="28" borderId="8" xfId="0" applyFont="1" applyFill="1" applyBorder="1" applyAlignment="1">
      <alignment vertical="center" wrapText="1"/>
    </xf>
    <xf numFmtId="0" fontId="8" fillId="28" borderId="13" xfId="0" applyFont="1" applyFill="1" applyBorder="1" applyAlignment="1">
      <alignment horizontal="center" vertical="center"/>
    </xf>
    <xf numFmtId="0" fontId="0" fillId="31" borderId="2" xfId="0" applyFill="1" applyBorder="1" applyAlignment="1">
      <alignment vertical="center"/>
    </xf>
    <xf numFmtId="0" fontId="0" fillId="0" borderId="0" xfId="0" applyFont="1" applyBorder="1"/>
    <xf numFmtId="0" fontId="0" fillId="0" borderId="1" xfId="0" applyFont="1" applyBorder="1"/>
    <xf numFmtId="0" fontId="0" fillId="0" borderId="0" xfId="0" applyAlignment="1">
      <alignment horizontal="left"/>
    </xf>
    <xf numFmtId="0" fontId="8" fillId="28" borderId="2" xfId="0" applyFont="1" applyFill="1" applyBorder="1" applyAlignment="1">
      <alignment horizontal="center"/>
    </xf>
    <xf numFmtId="0" fontId="7" fillId="0" borderId="0" xfId="0" applyFont="1" applyFill="1" applyBorder="1" applyAlignment="1">
      <alignment vertical="top"/>
    </xf>
    <xf numFmtId="0" fontId="0" fillId="0" borderId="0" xfId="0" applyFill="1" applyBorder="1" applyAlignment="1">
      <alignment vertical="top"/>
    </xf>
    <xf numFmtId="0" fontId="7" fillId="0" borderId="0" xfId="0" applyFont="1" applyBorder="1" applyAlignment="1">
      <alignment horizontal="left"/>
    </xf>
    <xf numFmtId="4" fontId="0" fillId="32" borderId="2" xfId="0" applyNumberFormat="1" applyFill="1" applyBorder="1" applyAlignment="1">
      <alignment vertical="center"/>
    </xf>
    <xf numFmtId="166" fontId="0" fillId="32" borderId="10" xfId="7" applyNumberFormat="1" applyFont="1" applyFill="1" applyBorder="1" applyAlignment="1">
      <alignment vertical="center"/>
    </xf>
    <xf numFmtId="4" fontId="0" fillId="32" borderId="20" xfId="0" applyNumberFormat="1" applyFill="1" applyBorder="1" applyAlignment="1">
      <alignment vertical="center"/>
    </xf>
    <xf numFmtId="166" fontId="0" fillId="32" borderId="7" xfId="7" applyNumberFormat="1" applyFont="1" applyFill="1" applyBorder="1" applyAlignment="1">
      <alignment vertical="center"/>
    </xf>
    <xf numFmtId="166" fontId="0" fillId="32" borderId="8" xfId="7" applyNumberFormat="1" applyFont="1" applyFill="1" applyBorder="1" applyAlignment="1">
      <alignment vertical="center"/>
    </xf>
    <xf numFmtId="166" fontId="0" fillId="32" borderId="2" xfId="7" applyNumberFormat="1" applyFont="1" applyFill="1" applyBorder="1" applyAlignment="1">
      <alignment vertical="center"/>
    </xf>
    <xf numFmtId="166" fontId="0" fillId="32" borderId="11" xfId="7" applyNumberFormat="1" applyFont="1" applyFill="1" applyBorder="1" applyAlignment="1">
      <alignment vertical="center"/>
    </xf>
    <xf numFmtId="166" fontId="0" fillId="32" borderId="12" xfId="7" applyNumberFormat="1" applyFont="1" applyFill="1" applyBorder="1" applyAlignment="1">
      <alignment vertical="center"/>
    </xf>
    <xf numFmtId="166" fontId="0" fillId="32" borderId="27" xfId="7" applyNumberFormat="1" applyFont="1" applyFill="1" applyBorder="1" applyAlignment="1">
      <alignment vertical="center"/>
    </xf>
    <xf numFmtId="166" fontId="0" fillId="32" borderId="31" xfId="7" applyNumberFormat="1" applyFont="1" applyFill="1" applyBorder="1" applyAlignment="1">
      <alignment vertical="center"/>
    </xf>
    <xf numFmtId="0" fontId="7" fillId="0" borderId="0" xfId="0" applyFont="1" applyAlignment="1">
      <alignment horizontal="left"/>
    </xf>
    <xf numFmtId="0" fontId="8" fillId="29" borderId="2" xfId="0" applyFont="1" applyFill="1" applyBorder="1" applyAlignment="1">
      <alignment horizontal="center"/>
    </xf>
    <xf numFmtId="0" fontId="3" fillId="0" borderId="0" xfId="1" applyBorder="1" applyAlignment="1">
      <alignment horizontal="left"/>
    </xf>
    <xf numFmtId="14" fontId="0" fillId="0" borderId="0" xfId="0" applyNumberFormat="1" applyBorder="1" applyAlignment="1">
      <alignment horizontal="left"/>
    </xf>
    <xf numFmtId="0" fontId="8" fillId="28" borderId="50" xfId="0" applyFont="1" applyFill="1" applyBorder="1" applyAlignment="1">
      <alignment vertical="center"/>
    </xf>
    <xf numFmtId="0" fontId="8" fillId="28" borderId="50" xfId="0" applyFont="1" applyFill="1" applyBorder="1" applyAlignment="1">
      <alignment horizontal="center" vertical="center"/>
    </xf>
    <xf numFmtId="0" fontId="8" fillId="28" borderId="50" xfId="0" applyFont="1" applyFill="1" applyBorder="1" applyAlignment="1">
      <alignment vertical="center" wrapText="1"/>
    </xf>
    <xf numFmtId="0" fontId="8" fillId="28" borderId="51" xfId="0" applyFont="1" applyFill="1" applyBorder="1" applyAlignment="1">
      <alignment vertical="center" wrapText="1"/>
    </xf>
    <xf numFmtId="0" fontId="7" fillId="31" borderId="9" xfId="0" applyFont="1" applyFill="1" applyBorder="1" applyAlignment="1">
      <alignment horizontal="center" vertical="center"/>
    </xf>
    <xf numFmtId="1" fontId="0" fillId="0" borderId="2" xfId="0" applyNumberFormat="1" applyFill="1" applyBorder="1" applyAlignment="1">
      <alignment horizontal="center"/>
    </xf>
    <xf numFmtId="1" fontId="0" fillId="0" borderId="2" xfId="0" applyNumberFormat="1" applyBorder="1" applyAlignment="1">
      <alignment horizontal="center"/>
    </xf>
    <xf numFmtId="1" fontId="0" fillId="30" borderId="2" xfId="0" applyNumberFormat="1" applyFill="1" applyBorder="1" applyAlignment="1" applyProtection="1">
      <alignment horizontal="center" vertical="center"/>
      <protection locked="0"/>
    </xf>
    <xf numFmtId="178" fontId="0" fillId="30" borderId="2" xfId="6" applyNumberFormat="1" applyFont="1" applyFill="1" applyBorder="1" applyAlignment="1" applyProtection="1">
      <alignment horizontal="center" vertical="center"/>
      <protection locked="0"/>
    </xf>
    <xf numFmtId="0" fontId="0" fillId="0" borderId="0" xfId="0" applyProtection="1"/>
    <xf numFmtId="0" fontId="0" fillId="0" borderId="44" xfId="0" applyBorder="1" applyProtection="1"/>
    <xf numFmtId="0" fontId="0" fillId="0" borderId="0" xfId="0" applyFont="1" applyAlignment="1" applyProtection="1">
      <alignment horizontal="left" vertical="center"/>
    </xf>
    <xf numFmtId="0" fontId="47" fillId="28" borderId="0" xfId="0" applyFont="1" applyFill="1" applyBorder="1" applyAlignment="1" applyProtection="1">
      <alignment vertical="center"/>
    </xf>
    <xf numFmtId="0" fontId="0" fillId="0" borderId="0" xfId="0" applyAlignment="1" applyProtection="1">
      <alignment vertical="center"/>
    </xf>
    <xf numFmtId="0" fontId="0" fillId="29" borderId="0" xfId="0" applyFill="1" applyBorder="1" applyAlignment="1" applyProtection="1">
      <alignment vertical="center"/>
    </xf>
    <xf numFmtId="0" fontId="0" fillId="30" borderId="0" xfId="0" applyFill="1" applyBorder="1" applyAlignment="1" applyProtection="1">
      <alignment vertical="center"/>
    </xf>
    <xf numFmtId="0" fontId="0" fillId="0" borderId="38" xfId="0" applyBorder="1" applyAlignment="1" applyProtection="1">
      <alignment vertical="center"/>
    </xf>
    <xf numFmtId="0" fontId="0" fillId="0" borderId="0" xfId="0" applyFont="1" applyAlignment="1" applyProtection="1">
      <alignment horizontal="left"/>
    </xf>
    <xf numFmtId="0" fontId="0" fillId="0" borderId="0" xfId="0" applyFill="1" applyAlignment="1" applyProtection="1">
      <alignment horizontal="center" vertical="center"/>
    </xf>
    <xf numFmtId="0" fontId="0" fillId="29" borderId="0" xfId="0" applyFill="1" applyBorder="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left" vertical="center"/>
    </xf>
    <xf numFmtId="0" fontId="7" fillId="0" borderId="33" xfId="0" applyFont="1" applyBorder="1" applyProtection="1"/>
    <xf numFmtId="0" fontId="0" fillId="0" borderId="33" xfId="0" applyBorder="1" applyProtection="1"/>
    <xf numFmtId="0" fontId="7" fillId="0" borderId="0" xfId="0" applyFont="1" applyProtection="1"/>
    <xf numFmtId="0" fontId="0" fillId="0" borderId="0" xfId="0" applyBorder="1" applyProtection="1"/>
    <xf numFmtId="0" fontId="0" fillId="0" borderId="38" xfId="0" applyBorder="1" applyAlignment="1" applyProtection="1">
      <alignment horizontal="left" vertical="top" wrapText="1"/>
    </xf>
    <xf numFmtId="0" fontId="0" fillId="0" borderId="38" xfId="0" applyBorder="1" applyProtection="1"/>
    <xf numFmtId="0" fontId="0" fillId="0" borderId="0" xfId="0" applyBorder="1" applyAlignment="1" applyProtection="1">
      <alignment horizontal="left" vertical="top" wrapText="1"/>
    </xf>
    <xf numFmtId="0" fontId="0" fillId="0" borderId="0" xfId="0" applyFont="1" applyAlignment="1" applyProtection="1">
      <alignment horizontal="left" vertical="top"/>
    </xf>
    <xf numFmtId="0" fontId="0" fillId="0" borderId="0" xfId="0" applyFont="1" applyAlignment="1" applyProtection="1">
      <alignment horizontal="left" vertical="top" wrapText="1"/>
    </xf>
    <xf numFmtId="0" fontId="0" fillId="32" borderId="44" xfId="0" applyFill="1" applyBorder="1" applyProtection="1"/>
    <xf numFmtId="0" fontId="7" fillId="32" borderId="0" xfId="0" applyFont="1" applyFill="1" applyBorder="1" applyProtection="1"/>
    <xf numFmtId="0" fontId="0" fillId="32" borderId="0" xfId="0" applyFont="1" applyFill="1" applyBorder="1" applyProtection="1"/>
    <xf numFmtId="0" fontId="0" fillId="32" borderId="0" xfId="0" applyFill="1" applyBorder="1" applyProtection="1"/>
    <xf numFmtId="0" fontId="0" fillId="0" borderId="0" xfId="0" applyFill="1" applyBorder="1" applyProtection="1"/>
    <xf numFmtId="0" fontId="0" fillId="0" borderId="0" xfId="0" applyFill="1" applyBorder="1" applyAlignment="1" applyProtection="1">
      <alignment vertical="top" wrapText="1"/>
    </xf>
    <xf numFmtId="0" fontId="0" fillId="32" borderId="0" xfId="0" applyFill="1" applyBorder="1" applyAlignment="1" applyProtection="1">
      <alignment vertical="top" wrapText="1"/>
    </xf>
    <xf numFmtId="0" fontId="0" fillId="32" borderId="38" xfId="0" applyFill="1" applyBorder="1" applyAlignment="1" applyProtection="1">
      <alignment vertical="top" wrapText="1"/>
    </xf>
    <xf numFmtId="0" fontId="0" fillId="0" borderId="34" xfId="0" applyBorder="1" applyAlignment="1" applyProtection="1">
      <alignment horizontal="left" vertical="top" wrapText="1"/>
    </xf>
    <xf numFmtId="0" fontId="48" fillId="0" borderId="0" xfId="0" applyFont="1" applyProtection="1"/>
    <xf numFmtId="0" fontId="0" fillId="0" borderId="35" xfId="0" applyFill="1" applyBorder="1" applyProtection="1"/>
    <xf numFmtId="0" fontId="0" fillId="0" borderId="36" xfId="0" applyFill="1" applyBorder="1" applyProtection="1"/>
    <xf numFmtId="0" fontId="0" fillId="0" borderId="36" xfId="0" applyBorder="1" applyProtection="1"/>
    <xf numFmtId="0" fontId="0" fillId="0" borderId="35" xfId="0" applyFill="1" applyBorder="1" applyAlignment="1" applyProtection="1">
      <alignment horizontal="left" vertical="top"/>
    </xf>
    <xf numFmtId="0" fontId="0" fillId="0" borderId="36" xfId="0" applyBorder="1" applyAlignment="1" applyProtection="1">
      <alignment vertical="top" wrapText="1"/>
    </xf>
    <xf numFmtId="0" fontId="0" fillId="0" borderId="0" xfId="0" applyAlignment="1" applyProtection="1">
      <alignment vertical="top" wrapText="1"/>
    </xf>
    <xf numFmtId="0" fontId="0" fillId="0" borderId="35" xfId="0" applyFill="1" applyBorder="1" applyAlignment="1" applyProtection="1"/>
    <xf numFmtId="0" fontId="0" fillId="0" borderId="0" xfId="0" applyFill="1" applyBorder="1" applyAlignment="1" applyProtection="1"/>
    <xf numFmtId="0" fontId="0" fillId="0" borderId="0" xfId="0" applyFill="1" applyBorder="1" applyAlignment="1" applyProtection="1">
      <alignment wrapText="1"/>
    </xf>
    <xf numFmtId="0" fontId="0" fillId="0" borderId="0" xfId="0" applyFont="1" applyFill="1" applyBorder="1" applyAlignment="1" applyProtection="1">
      <alignment vertical="top"/>
    </xf>
    <xf numFmtId="0" fontId="4" fillId="0" borderId="35" xfId="0" applyFont="1" applyFill="1" applyBorder="1" applyAlignment="1" applyProtection="1">
      <alignment vertical="top"/>
    </xf>
    <xf numFmtId="0" fontId="0" fillId="0" borderId="35" xfId="0" applyFont="1" applyFill="1" applyBorder="1" applyAlignment="1" applyProtection="1">
      <alignment vertical="top"/>
    </xf>
    <xf numFmtId="0" fontId="0" fillId="0" borderId="36" xfId="0" applyFill="1" applyBorder="1" applyAlignment="1" applyProtection="1"/>
    <xf numFmtId="0" fontId="4" fillId="0" borderId="0" xfId="0" applyFont="1" applyFill="1" applyBorder="1" applyAlignment="1" applyProtection="1">
      <alignment vertical="top"/>
    </xf>
    <xf numFmtId="0" fontId="4" fillId="0" borderId="37" xfId="0" applyFont="1" applyFill="1" applyBorder="1" applyAlignment="1" applyProtection="1">
      <alignment vertical="top"/>
    </xf>
    <xf numFmtId="0" fontId="4" fillId="0" borderId="38" xfId="0" applyFont="1" applyFill="1" applyBorder="1" applyAlignment="1" applyProtection="1">
      <alignment vertical="top"/>
    </xf>
    <xf numFmtId="0" fontId="0" fillId="0" borderId="39" xfId="0" applyFill="1" applyBorder="1" applyAlignment="1" applyProtection="1"/>
    <xf numFmtId="0" fontId="0" fillId="0" borderId="37" xfId="0" applyFill="1" applyBorder="1" applyProtection="1"/>
    <xf numFmtId="0" fontId="0" fillId="0" borderId="38" xfId="0" applyFill="1" applyBorder="1" applyProtection="1"/>
    <xf numFmtId="0" fontId="0" fillId="0" borderId="39" xfId="0" applyBorder="1" applyProtection="1"/>
    <xf numFmtId="0" fontId="0" fillId="0" borderId="0" xfId="0" applyFont="1" applyProtection="1"/>
    <xf numFmtId="0" fontId="7" fillId="0" borderId="0" xfId="0" applyFont="1" applyBorder="1" applyProtection="1"/>
    <xf numFmtId="0" fontId="0" fillId="0" borderId="44" xfId="0" applyFill="1" applyBorder="1" applyAlignment="1" applyProtection="1">
      <alignment vertical="top" wrapText="1"/>
    </xf>
    <xf numFmtId="0" fontId="7" fillId="0" borderId="0" xfId="0" applyFont="1" applyFill="1" applyBorder="1" applyAlignment="1" applyProtection="1">
      <alignment vertical="top"/>
    </xf>
    <xf numFmtId="0" fontId="0" fillId="0" borderId="0" xfId="0" applyFill="1" applyBorder="1" applyAlignment="1" applyProtection="1">
      <alignment vertical="top"/>
    </xf>
    <xf numFmtId="0" fontId="7" fillId="0" borderId="0" xfId="0" applyFont="1" applyAlignment="1" applyProtection="1">
      <alignment horizontal="left" vertical="center"/>
    </xf>
    <xf numFmtId="0" fontId="47" fillId="31" borderId="0" xfId="0" applyFont="1" applyFill="1" applyBorder="1" applyAlignment="1" applyProtection="1">
      <alignment vertical="center"/>
    </xf>
    <xf numFmtId="0" fontId="0" fillId="31" borderId="0" xfId="0" applyFill="1" applyBorder="1" applyAlignment="1" applyProtection="1">
      <alignment vertical="center"/>
    </xf>
    <xf numFmtId="0" fontId="0" fillId="31" borderId="0" xfId="0" applyFill="1" applyAlignment="1" applyProtection="1">
      <alignment vertical="center"/>
    </xf>
    <xf numFmtId="0" fontId="0" fillId="0" borderId="44" xfId="0" applyBorder="1" applyAlignment="1" applyProtection="1">
      <alignment vertical="center"/>
    </xf>
    <xf numFmtId="0" fontId="51" fillId="0" borderId="0" xfId="0" applyFont="1" applyBorder="1" applyAlignment="1" applyProtection="1">
      <alignment vertical="center"/>
    </xf>
    <xf numFmtId="0" fontId="0" fillId="0" borderId="0" xfId="0" applyBorder="1" applyAlignment="1" applyProtection="1">
      <alignment vertical="center"/>
    </xf>
    <xf numFmtId="0" fontId="0" fillId="0" borderId="0" xfId="0" applyFont="1" applyBorder="1" applyAlignment="1" applyProtection="1">
      <alignment vertical="center"/>
    </xf>
    <xf numFmtId="0" fontId="8" fillId="28" borderId="2" xfId="0" applyFont="1" applyFill="1" applyBorder="1" applyAlignment="1" applyProtection="1">
      <alignment horizontal="center" vertical="center"/>
    </xf>
    <xf numFmtId="0" fontId="8" fillId="28" borderId="2" xfId="0" applyFont="1" applyFill="1" applyBorder="1" applyAlignment="1" applyProtection="1">
      <alignment horizontal="center" vertical="center" wrapText="1"/>
    </xf>
    <xf numFmtId="0" fontId="8" fillId="28" borderId="2" xfId="0" applyFont="1" applyFill="1" applyBorder="1" applyAlignment="1" applyProtection="1">
      <alignment vertical="center"/>
    </xf>
    <xf numFmtId="0" fontId="0" fillId="31" borderId="2" xfId="0" applyFont="1" applyFill="1" applyBorder="1" applyAlignment="1" applyProtection="1">
      <alignment vertical="center"/>
    </xf>
    <xf numFmtId="0" fontId="0" fillId="31" borderId="2" xfId="0" applyFill="1" applyBorder="1" applyAlignment="1" applyProtection="1">
      <alignment horizontal="center" vertical="center"/>
    </xf>
    <xf numFmtId="0" fontId="0" fillId="29" borderId="2" xfId="0" applyFill="1" applyBorder="1" applyAlignment="1" applyProtection="1">
      <alignment horizontal="center" vertical="center"/>
    </xf>
    <xf numFmtId="164" fontId="0" fillId="29" borderId="2" xfId="0" applyNumberFormat="1" applyFill="1" applyBorder="1" applyAlignment="1" applyProtection="1">
      <alignment horizontal="center" vertical="center"/>
    </xf>
    <xf numFmtId="4" fontId="0" fillId="2" borderId="2" xfId="0" applyNumberFormat="1" applyFill="1" applyBorder="1" applyAlignment="1" applyProtection="1">
      <alignment horizontal="center" vertical="center"/>
    </xf>
    <xf numFmtId="0" fontId="0" fillId="0" borderId="0" xfId="0" applyBorder="1" applyAlignment="1" applyProtection="1">
      <alignment horizontal="center" vertical="center"/>
    </xf>
    <xf numFmtId="0" fontId="0" fillId="0" borderId="2" xfId="0" applyFont="1" applyFill="1" applyBorder="1" applyAlignment="1" applyProtection="1">
      <alignment vertical="center"/>
    </xf>
    <xf numFmtId="0" fontId="0" fillId="0" borderId="2" xfId="0" applyFill="1" applyBorder="1" applyAlignment="1" applyProtection="1">
      <alignment horizontal="center" vertical="center"/>
    </xf>
    <xf numFmtId="1" fontId="0" fillId="29" borderId="2" xfId="0" applyNumberFormat="1" applyFill="1" applyBorder="1" applyAlignment="1" applyProtection="1">
      <alignment horizontal="center" vertical="center"/>
    </xf>
    <xf numFmtId="0" fontId="7" fillId="0" borderId="0" xfId="0" applyFont="1" applyFill="1" applyBorder="1" applyAlignment="1" applyProtection="1">
      <alignment vertical="center"/>
    </xf>
    <xf numFmtId="0" fontId="0" fillId="0" borderId="0" xfId="0" applyFill="1" applyBorder="1" applyAlignment="1" applyProtection="1">
      <alignment horizontal="center" vertical="center"/>
    </xf>
    <xf numFmtId="165" fontId="0" fillId="0" borderId="0" xfId="6" applyNumberFormat="1" applyFont="1"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4" fontId="0" fillId="0" borderId="0" xfId="0" applyNumberFormat="1" applyFill="1" applyBorder="1" applyAlignment="1" applyProtection="1">
      <alignment horizontal="center" vertical="center"/>
    </xf>
    <xf numFmtId="0" fontId="0" fillId="31" borderId="0" xfId="0" applyFont="1" applyFill="1" applyBorder="1" applyAlignment="1" applyProtection="1">
      <alignment vertical="center"/>
    </xf>
    <xf numFmtId="0" fontId="7" fillId="31" borderId="0" xfId="0" applyFont="1" applyFill="1" applyBorder="1" applyAlignment="1" applyProtection="1">
      <alignment vertical="center"/>
    </xf>
    <xf numFmtId="0" fontId="0" fillId="30" borderId="2" xfId="0" applyFill="1" applyBorder="1" applyAlignment="1" applyProtection="1">
      <alignment horizontal="center" vertical="center"/>
      <protection locked="0"/>
    </xf>
    <xf numFmtId="0" fontId="0" fillId="0" borderId="43" xfId="0" applyBorder="1" applyProtection="1"/>
    <xf numFmtId="0" fontId="0" fillId="0" borderId="43" xfId="0" applyBorder="1" applyAlignment="1" applyProtection="1">
      <alignment vertical="center"/>
    </xf>
    <xf numFmtId="4" fontId="0" fillId="29" borderId="2" xfId="0" applyNumberFormat="1" applyFill="1" applyBorder="1" applyAlignment="1" applyProtection="1">
      <alignment horizontal="center" vertical="center"/>
    </xf>
    <xf numFmtId="1" fontId="0" fillId="3" borderId="2" xfId="0" applyNumberFormat="1" applyFill="1" applyBorder="1" applyAlignment="1">
      <alignment horizontal="center"/>
    </xf>
    <xf numFmtId="0" fontId="8" fillId="28" borderId="2" xfId="0" applyFont="1" applyFill="1" applyBorder="1"/>
    <xf numFmtId="0" fontId="0" fillId="0" borderId="2" xfId="0" applyBorder="1"/>
    <xf numFmtId="1" fontId="0" fillId="0" borderId="2" xfId="0" applyNumberFormat="1" applyBorder="1"/>
    <xf numFmtId="0" fontId="8" fillId="28" borderId="2" xfId="0" applyFont="1" applyFill="1" applyBorder="1" applyAlignment="1">
      <alignment horizontal="center" vertical="center" wrapText="1"/>
    </xf>
    <xf numFmtId="0" fontId="0" fillId="31" borderId="2" xfId="0" applyFill="1" applyBorder="1" applyAlignment="1">
      <alignment vertical="center" wrapText="1"/>
    </xf>
    <xf numFmtId="0" fontId="0" fillId="31" borderId="2" xfId="0" applyFill="1" applyBorder="1" applyAlignment="1">
      <alignment horizontal="center" vertical="center"/>
    </xf>
    <xf numFmtId="0" fontId="0" fillId="29" borderId="2" xfId="0" applyFill="1" applyBorder="1" applyAlignment="1">
      <alignment horizontal="center" vertical="center"/>
    </xf>
    <xf numFmtId="164" fontId="0" fillId="29" borderId="2" xfId="0" applyNumberFormat="1" applyFill="1" applyBorder="1" applyAlignment="1">
      <alignment horizontal="center" vertical="center"/>
    </xf>
    <xf numFmtId="4" fontId="0" fillId="2" borderId="2" xfId="0" applyNumberFormat="1" applyFill="1" applyBorder="1" applyAlignment="1">
      <alignment horizontal="center" vertical="center"/>
    </xf>
    <xf numFmtId="0" fontId="0" fillId="31" borderId="0" xfId="0" applyFill="1" applyAlignment="1">
      <alignment vertical="center"/>
    </xf>
    <xf numFmtId="0" fontId="0" fillId="31" borderId="0" xfId="0" applyFill="1"/>
    <xf numFmtId="0" fontId="7" fillId="0" borderId="0" xfId="0" applyFont="1" applyAlignment="1">
      <alignment horizontal="left" vertical="center"/>
    </xf>
    <xf numFmtId="0" fontId="47" fillId="28" borderId="0" xfId="0" applyFont="1" applyFill="1" applyAlignment="1">
      <alignment vertical="center"/>
    </xf>
    <xf numFmtId="0" fontId="47" fillId="31" borderId="0" xfId="0" applyFont="1" applyFill="1" applyAlignment="1">
      <alignment vertical="center"/>
    </xf>
    <xf numFmtId="0" fontId="0" fillId="29" borderId="0" xfId="0" applyFill="1" applyAlignment="1">
      <alignment vertical="center"/>
    </xf>
    <xf numFmtId="0" fontId="0" fillId="30" borderId="0" xfId="0" applyFill="1" applyAlignment="1">
      <alignment vertical="center"/>
    </xf>
    <xf numFmtId="0" fontId="0" fillId="31" borderId="44" xfId="0" applyFill="1" applyBorder="1" applyAlignment="1">
      <alignment vertical="center"/>
    </xf>
    <xf numFmtId="0" fontId="51" fillId="31" borderId="0" xfId="0" applyFont="1" applyFill="1" applyAlignment="1">
      <alignment vertical="center"/>
    </xf>
    <xf numFmtId="0" fontId="8" fillId="28" borderId="2" xfId="0" applyFont="1" applyFill="1" applyBorder="1" applyAlignment="1">
      <alignment vertical="center"/>
    </xf>
    <xf numFmtId="0" fontId="0" fillId="31" borderId="0" xfId="0" applyFill="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31" borderId="38" xfId="0" applyFill="1" applyBorder="1" applyAlignment="1">
      <alignment vertical="center"/>
    </xf>
    <xf numFmtId="0" fontId="7" fillId="31" borderId="0" xfId="0" applyFont="1" applyFill="1" applyAlignment="1">
      <alignment vertical="center"/>
    </xf>
    <xf numFmtId="0" fontId="0" fillId="31" borderId="43" xfId="0" applyFill="1" applyBorder="1"/>
    <xf numFmtId="0" fontId="0" fillId="31" borderId="43" xfId="0" applyFill="1" applyBorder="1" applyAlignment="1">
      <alignment vertical="center"/>
    </xf>
    <xf numFmtId="0" fontId="7" fillId="31" borderId="0" xfId="0" applyFont="1" applyFill="1" applyAlignment="1">
      <alignment vertical="top"/>
    </xf>
    <xf numFmtId="0" fontId="0" fillId="31" borderId="0" xfId="0" applyFill="1" applyAlignment="1">
      <alignment vertical="top"/>
    </xf>
    <xf numFmtId="4" fontId="9" fillId="32" borderId="57" xfId="0" applyNumberFormat="1" applyFont="1" applyFill="1" applyBorder="1" applyAlignment="1">
      <alignment vertical="center"/>
    </xf>
    <xf numFmtId="9" fontId="9" fillId="32" borderId="58" xfId="7" applyFont="1" applyFill="1" applyBorder="1" applyAlignment="1">
      <alignment vertical="center"/>
    </xf>
    <xf numFmtId="0" fontId="7" fillId="0" borderId="0" xfId="0" applyFont="1"/>
    <xf numFmtId="178" fontId="0" fillId="29" borderId="2" xfId="6" applyNumberFormat="1" applyFont="1" applyFill="1" applyBorder="1" applyAlignment="1" applyProtection="1">
      <alignment horizontal="center" vertical="center"/>
    </xf>
    <xf numFmtId="0" fontId="0" fillId="0" borderId="0" xfId="0" applyFill="1" applyBorder="1" applyAlignment="1" applyProtection="1">
      <alignment horizontal="left" vertical="top" wrapText="1"/>
    </xf>
    <xf numFmtId="0" fontId="2" fillId="0" borderId="0" xfId="0" applyFont="1" applyAlignment="1">
      <alignment vertical="center"/>
    </xf>
    <xf numFmtId="0" fontId="0" fillId="31" borderId="0" xfId="0" applyFill="1" applyBorder="1" applyAlignment="1" applyProtection="1">
      <alignment horizontal="center" vertical="center"/>
    </xf>
    <xf numFmtId="164" fontId="0" fillId="31" borderId="2" xfId="0" applyNumberFormat="1" applyFill="1" applyBorder="1" applyAlignment="1">
      <alignment horizontal="center"/>
    </xf>
    <xf numFmtId="164" fontId="0" fillId="33" borderId="2" xfId="0" applyNumberFormat="1" applyFill="1" applyBorder="1" applyAlignment="1">
      <alignment horizontal="center"/>
    </xf>
    <xf numFmtId="164" fontId="0" fillId="3" borderId="0" xfId="0" applyNumberFormat="1" applyFill="1" applyBorder="1" applyAlignment="1">
      <alignment horizontal="center"/>
    </xf>
    <xf numFmtId="164" fontId="0" fillId="3" borderId="0" xfId="0" applyNumberFormat="1" applyFill="1" applyAlignment="1">
      <alignment horizontal="center"/>
    </xf>
    <xf numFmtId="0" fontId="8" fillId="29" borderId="59" xfId="0" applyFont="1" applyFill="1" applyBorder="1" applyAlignment="1">
      <alignment horizontal="center"/>
    </xf>
    <xf numFmtId="0" fontId="55" fillId="34" borderId="60" xfId="0" applyFont="1" applyFill="1" applyBorder="1"/>
    <xf numFmtId="0" fontId="0" fillId="0" borderId="0" xfId="0" applyFill="1" applyBorder="1" applyAlignment="1" applyProtection="1">
      <alignment horizontal="left" vertical="top" wrapText="1"/>
    </xf>
    <xf numFmtId="0" fontId="0" fillId="0" borderId="0" xfId="0" applyFont="1" applyAlignment="1" applyProtection="1">
      <alignment horizontal="center" vertical="top" wrapText="1"/>
    </xf>
    <xf numFmtId="0" fontId="0" fillId="0" borderId="35"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2" xfId="0" applyFill="1" applyBorder="1" applyAlignment="1">
      <alignment vertical="center"/>
    </xf>
    <xf numFmtId="0" fontId="4" fillId="31" borderId="0" xfId="0" applyFont="1" applyFill="1" applyBorder="1" applyAlignment="1" applyProtection="1">
      <alignment horizontal="center" vertical="top"/>
      <protection locked="0"/>
    </xf>
    <xf numFmtId="0" fontId="0" fillId="31" borderId="36" xfId="0" applyFill="1" applyBorder="1" applyAlignment="1" applyProtection="1"/>
    <xf numFmtId="0" fontId="0" fillId="0" borderId="35" xfId="0" applyFont="1" applyFill="1" applyBorder="1" applyAlignment="1" applyProtection="1">
      <alignment horizontal="left" vertical="top"/>
    </xf>
    <xf numFmtId="0" fontId="4" fillId="0" borderId="35"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7" fillId="31" borderId="4" xfId="0" applyFont="1" applyFill="1" applyBorder="1" applyAlignment="1">
      <alignment horizontal="center" vertical="center"/>
    </xf>
    <xf numFmtId="178" fontId="0" fillId="3" borderId="2" xfId="6" applyNumberFormat="1" applyFont="1" applyFill="1" applyBorder="1" applyAlignment="1" applyProtection="1">
      <alignment horizontal="center" vertical="center"/>
      <protection locked="0"/>
    </xf>
    <xf numFmtId="166" fontId="0" fillId="32" borderId="20" xfId="7" applyNumberFormat="1" applyFont="1" applyFill="1" applyBorder="1" applyAlignment="1">
      <alignment vertical="center"/>
    </xf>
    <xf numFmtId="166" fontId="0" fillId="32" borderId="62" xfId="7" applyNumberFormat="1" applyFont="1" applyFill="1" applyBorder="1" applyAlignment="1">
      <alignment vertical="center"/>
    </xf>
    <xf numFmtId="166" fontId="0" fillId="32" borderId="63" xfId="7" applyNumberFormat="1" applyFont="1" applyFill="1" applyBorder="1" applyAlignment="1">
      <alignment vertical="center"/>
    </xf>
    <xf numFmtId="166" fontId="0" fillId="32" borderId="64" xfId="7" applyNumberFormat="1" applyFont="1" applyFill="1" applyBorder="1" applyAlignment="1">
      <alignment vertical="center"/>
    </xf>
    <xf numFmtId="0" fontId="7" fillId="31" borderId="65" xfId="0" applyFont="1" applyFill="1" applyBorder="1" applyAlignment="1">
      <alignment horizontal="center" vertical="center"/>
    </xf>
    <xf numFmtId="166" fontId="0" fillId="32" borderId="66" xfId="7" applyNumberFormat="1" applyFont="1" applyFill="1" applyBorder="1" applyAlignment="1">
      <alignment vertical="center"/>
    </xf>
    <xf numFmtId="166" fontId="0" fillId="32" borderId="67" xfId="7" applyNumberFormat="1" applyFont="1" applyFill="1" applyBorder="1" applyAlignment="1">
      <alignment vertical="center"/>
    </xf>
    <xf numFmtId="0" fontId="0" fillId="31" borderId="3" xfId="0" applyFill="1" applyBorder="1" applyAlignment="1">
      <alignment vertical="center"/>
    </xf>
    <xf numFmtId="0" fontId="0" fillId="31" borderId="4" xfId="0" applyFill="1" applyBorder="1" applyAlignment="1">
      <alignment vertical="center"/>
    </xf>
    <xf numFmtId="166" fontId="0" fillId="32" borderId="69" xfId="7" applyNumberFormat="1" applyFont="1" applyFill="1" applyBorder="1" applyAlignment="1">
      <alignment vertical="center"/>
    </xf>
    <xf numFmtId="4" fontId="0" fillId="32" borderId="70" xfId="0" applyNumberFormat="1" applyFill="1" applyBorder="1" applyAlignment="1">
      <alignment vertical="center"/>
    </xf>
    <xf numFmtId="4" fontId="0" fillId="32" borderId="17" xfId="0" applyNumberFormat="1" applyFill="1" applyBorder="1" applyAlignment="1">
      <alignment vertical="center"/>
    </xf>
    <xf numFmtId="4" fontId="0" fillId="32" borderId="71" xfId="0" applyNumberFormat="1" applyFill="1" applyBorder="1" applyAlignment="1">
      <alignment vertical="center"/>
    </xf>
    <xf numFmtId="0" fontId="0" fillId="31" borderId="72" xfId="0" applyFill="1" applyBorder="1" applyAlignment="1">
      <alignment vertical="center"/>
    </xf>
    <xf numFmtId="0" fontId="0" fillId="31" borderId="73" xfId="0" applyFill="1" applyBorder="1" applyAlignment="1">
      <alignment vertical="center"/>
    </xf>
    <xf numFmtId="0" fontId="0" fillId="31" borderId="74" xfId="0" applyFill="1" applyBorder="1" applyAlignment="1">
      <alignment vertical="center"/>
    </xf>
    <xf numFmtId="4" fontId="0" fillId="32" borderId="54" xfId="0" applyNumberFormat="1" applyFill="1" applyBorder="1" applyAlignment="1">
      <alignment vertical="center"/>
    </xf>
    <xf numFmtId="4" fontId="0" fillId="32" borderId="75" xfId="0" applyNumberFormat="1" applyFill="1" applyBorder="1" applyAlignment="1">
      <alignment vertical="center"/>
    </xf>
    <xf numFmtId="166" fontId="0" fillId="32" borderId="70" xfId="7" applyNumberFormat="1" applyFont="1" applyFill="1" applyBorder="1" applyAlignment="1">
      <alignment vertical="center"/>
    </xf>
    <xf numFmtId="166" fontId="0" fillId="32" borderId="17" xfId="7" applyNumberFormat="1" applyFont="1" applyFill="1" applyBorder="1" applyAlignment="1">
      <alignment vertical="center"/>
    </xf>
    <xf numFmtId="166" fontId="0" fillId="32" borderId="75" xfId="7" applyNumberFormat="1" applyFont="1" applyFill="1" applyBorder="1" applyAlignment="1">
      <alignment vertical="center"/>
    </xf>
    <xf numFmtId="4" fontId="0" fillId="32" borderId="76" xfId="0" applyNumberFormat="1" applyFill="1" applyBorder="1" applyAlignment="1">
      <alignment vertical="center"/>
    </xf>
    <xf numFmtId="0" fontId="0" fillId="31" borderId="72" xfId="0" applyFont="1" applyFill="1" applyBorder="1" applyAlignment="1">
      <alignment vertical="center"/>
    </xf>
    <xf numFmtId="0" fontId="0" fillId="31" borderId="73" xfId="0" applyFont="1" applyFill="1" applyBorder="1" applyAlignment="1">
      <alignment vertical="center"/>
    </xf>
    <xf numFmtId="0" fontId="0" fillId="31" borderId="74" xfId="0" applyFont="1" applyFill="1" applyBorder="1" applyAlignment="1">
      <alignment vertical="center"/>
    </xf>
    <xf numFmtId="0" fontId="0" fillId="0" borderId="73" xfId="0" applyFill="1" applyBorder="1" applyAlignment="1">
      <alignment vertical="center"/>
    </xf>
    <xf numFmtId="0" fontId="0" fillId="0" borderId="77" xfId="0" applyFill="1" applyBorder="1" applyAlignment="1">
      <alignment vertical="center"/>
    </xf>
    <xf numFmtId="0" fontId="0" fillId="0" borderId="73" xfId="0" applyFont="1" applyFill="1" applyBorder="1" applyAlignment="1" applyProtection="1">
      <alignment vertical="center"/>
    </xf>
    <xf numFmtId="0" fontId="0" fillId="31" borderId="77" xfId="0" applyFont="1" applyFill="1" applyBorder="1" applyAlignment="1">
      <alignment vertical="center"/>
    </xf>
    <xf numFmtId="4" fontId="0" fillId="32" borderId="78" xfId="0" applyNumberFormat="1" applyFill="1" applyBorder="1" applyAlignment="1">
      <alignment vertical="center"/>
    </xf>
    <xf numFmtId="4" fontId="0" fillId="32" borderId="79" xfId="0" applyNumberFormat="1" applyFill="1" applyBorder="1" applyAlignment="1">
      <alignment vertical="center"/>
    </xf>
    <xf numFmtId="0" fontId="0" fillId="0" borderId="72" xfId="0" applyFill="1" applyBorder="1" applyAlignment="1">
      <alignment vertical="center"/>
    </xf>
    <xf numFmtId="0" fontId="0" fillId="0" borderId="74" xfId="0" applyFill="1" applyBorder="1" applyAlignment="1">
      <alignment vertical="center"/>
    </xf>
    <xf numFmtId="0" fontId="0" fillId="31" borderId="77" xfId="0" applyFill="1" applyBorder="1" applyAlignment="1">
      <alignment vertical="center"/>
    </xf>
    <xf numFmtId="0" fontId="0" fillId="31" borderId="80" xfId="0" applyFill="1" applyBorder="1" applyAlignment="1">
      <alignment vertical="center"/>
    </xf>
    <xf numFmtId="0" fontId="0" fillId="31" borderId="68" xfId="0" applyFill="1" applyBorder="1" applyAlignment="1">
      <alignment vertical="center"/>
    </xf>
    <xf numFmtId="0" fontId="0" fillId="0" borderId="80" xfId="0" applyFont="1" applyFill="1" applyBorder="1" applyAlignment="1" applyProtection="1">
      <alignment vertical="center"/>
    </xf>
    <xf numFmtId="0" fontId="47" fillId="31" borderId="0" xfId="0" applyFont="1" applyFill="1"/>
    <xf numFmtId="0" fontId="47" fillId="31" borderId="0" xfId="0" applyFont="1" applyFill="1" applyAlignment="1">
      <alignment horizontal="center"/>
    </xf>
    <xf numFmtId="1" fontId="0" fillId="31" borderId="2" xfId="0" applyNumberFormat="1" applyFill="1" applyBorder="1" applyAlignment="1">
      <alignment horizontal="center"/>
    </xf>
    <xf numFmtId="164" fontId="0" fillId="72" borderId="2" xfId="0" applyNumberForma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32"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4" fillId="30" borderId="0" xfId="0" applyFont="1" applyFill="1" applyBorder="1" applyAlignment="1" applyProtection="1">
      <alignment horizontal="center" vertical="top" wrapText="1"/>
      <protection locked="0"/>
    </xf>
    <xf numFmtId="0" fontId="4" fillId="30" borderId="0" xfId="0" applyFont="1" applyFill="1" applyBorder="1" applyAlignment="1" applyProtection="1">
      <alignment horizontal="center" vertical="top"/>
      <protection locked="0"/>
    </xf>
    <xf numFmtId="0" fontId="0" fillId="0" borderId="38" xfId="0" applyFill="1" applyBorder="1" applyAlignment="1" applyProtection="1">
      <alignment horizontal="left" vertical="top" wrapText="1"/>
    </xf>
    <xf numFmtId="0" fontId="0" fillId="0" borderId="35"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8" fillId="28" borderId="40" xfId="0" applyFont="1" applyFill="1" applyBorder="1" applyAlignment="1" applyProtection="1">
      <alignment horizontal="left"/>
    </xf>
    <xf numFmtId="0" fontId="8" fillId="28" borderId="41" xfId="0" applyFont="1" applyFill="1" applyBorder="1" applyAlignment="1" applyProtection="1">
      <alignment horizontal="left"/>
    </xf>
    <xf numFmtId="0" fontId="8" fillId="28" borderId="42" xfId="0" applyFont="1" applyFill="1" applyBorder="1" applyAlignment="1" applyProtection="1">
      <alignment horizontal="left"/>
    </xf>
    <xf numFmtId="0" fontId="0" fillId="0" borderId="35" xfId="0" applyFill="1" applyBorder="1" applyAlignment="1" applyProtection="1">
      <alignment horizontal="left" wrapText="1"/>
    </xf>
    <xf numFmtId="0" fontId="0" fillId="0" borderId="0" xfId="0" applyFill="1" applyBorder="1" applyAlignment="1" applyProtection="1">
      <alignment horizontal="left" wrapText="1"/>
    </xf>
    <xf numFmtId="0" fontId="0" fillId="0" borderId="35" xfId="0" applyFill="1" applyBorder="1" applyAlignment="1" applyProtection="1">
      <alignment horizontal="left"/>
    </xf>
    <xf numFmtId="0" fontId="0" fillId="0" borderId="0" xfId="0" applyFill="1" applyBorder="1" applyAlignment="1" applyProtection="1">
      <alignment horizontal="left"/>
    </xf>
    <xf numFmtId="0" fontId="0" fillId="0" borderId="36" xfId="0" applyFill="1" applyBorder="1" applyAlignment="1" applyProtection="1">
      <alignment horizontal="left"/>
    </xf>
    <xf numFmtId="0" fontId="0" fillId="0" borderId="0" xfId="0" applyFont="1" applyAlignment="1" applyProtection="1">
      <alignment horizontal="left" wrapText="1"/>
    </xf>
    <xf numFmtId="0" fontId="0" fillId="0" borderId="35" xfId="0" applyFill="1" applyBorder="1" applyAlignment="1" applyProtection="1">
      <alignment horizontal="left" vertical="top" wrapText="1"/>
    </xf>
    <xf numFmtId="0" fontId="47" fillId="28" borderId="0" xfId="0" applyFont="1" applyFill="1" applyBorder="1" applyAlignment="1" applyProtection="1">
      <alignment horizontal="center"/>
      <protection locked="0"/>
    </xf>
    <xf numFmtId="0" fontId="50" fillId="0" borderId="0" xfId="0" applyFont="1" applyFill="1" applyBorder="1" applyAlignment="1" applyProtection="1">
      <alignment horizontal="left"/>
    </xf>
    <xf numFmtId="0" fontId="0" fillId="0" borderId="0" xfId="0" applyFill="1"/>
    <xf numFmtId="0" fontId="0" fillId="32" borderId="0" xfId="0" applyFill="1" applyBorder="1" applyAlignment="1" applyProtection="1">
      <alignment horizontal="left" vertical="top" wrapText="1"/>
    </xf>
    <xf numFmtId="0" fontId="0" fillId="32" borderId="0" xfId="0" applyFont="1" applyFill="1" applyBorder="1" applyAlignment="1" applyProtection="1">
      <alignment vertical="top" wrapText="1"/>
    </xf>
    <xf numFmtId="0" fontId="0" fillId="32" borderId="38" xfId="0" applyFont="1" applyFill="1" applyBorder="1" applyAlignment="1" applyProtection="1">
      <alignment vertical="top" wrapText="1"/>
    </xf>
    <xf numFmtId="0" fontId="7" fillId="0" borderId="0" xfId="0" applyFont="1" applyBorder="1" applyAlignment="1" applyProtection="1">
      <alignment horizontal="left"/>
    </xf>
    <xf numFmtId="0" fontId="0" fillId="0" borderId="0" xfId="0" applyBorder="1" applyAlignment="1" applyProtection="1">
      <alignment horizontal="left" vertical="top" wrapText="1"/>
    </xf>
    <xf numFmtId="0" fontId="49" fillId="0" borderId="0" xfId="0" applyFont="1" applyAlignment="1" applyProtection="1">
      <alignment horizontal="left" vertical="top"/>
    </xf>
    <xf numFmtId="0" fontId="0" fillId="0" borderId="0" xfId="0" applyFont="1" applyAlignment="1" applyProtection="1">
      <alignment horizontal="left" vertical="top" wrapText="1"/>
    </xf>
    <xf numFmtId="0" fontId="4" fillId="0" borderId="35" xfId="0" applyFont="1" applyFill="1" applyBorder="1" applyAlignment="1" applyProtection="1">
      <alignment vertical="top" wrapText="1"/>
    </xf>
    <xf numFmtId="0" fontId="4" fillId="0" borderId="0" xfId="0" applyFont="1" applyFill="1" applyBorder="1" applyAlignment="1" applyProtection="1">
      <alignment vertical="top" wrapText="1"/>
    </xf>
    <xf numFmtId="0" fontId="0" fillId="0" borderId="35"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30" borderId="0" xfId="0" applyFill="1" applyBorder="1" applyAlignment="1" applyProtection="1">
      <alignment horizontal="left" vertical="top" wrapText="1"/>
      <protection locked="0"/>
    </xf>
    <xf numFmtId="0" fontId="0" fillId="0" borderId="0" xfId="0" applyAlignment="1" applyProtection="1">
      <alignment horizontal="left" wrapText="1"/>
    </xf>
    <xf numFmtId="0" fontId="7" fillId="0" borderId="0" xfId="0" applyFont="1" applyAlignment="1" applyProtection="1">
      <alignment horizontal="left" vertical="center"/>
    </xf>
    <xf numFmtId="0" fontId="47" fillId="28" borderId="0" xfId="0" applyFont="1" applyFill="1" applyBorder="1" applyAlignment="1" applyProtection="1">
      <alignment horizontal="left" vertical="center"/>
    </xf>
    <xf numFmtId="0" fontId="0" fillId="29" borderId="0" xfId="0" applyFill="1" applyBorder="1" applyAlignment="1" applyProtection="1">
      <alignment horizontal="left" vertical="center"/>
    </xf>
    <xf numFmtId="0" fontId="0" fillId="30" borderId="0" xfId="0" applyFill="1" applyBorder="1" applyAlignment="1" applyProtection="1">
      <alignment horizontal="left" vertical="center"/>
    </xf>
    <xf numFmtId="0" fontId="0" fillId="30" borderId="0" xfId="0" applyFill="1" applyAlignment="1" applyProtection="1">
      <alignment horizontal="left" vertical="top" wrapText="1"/>
      <protection locked="0"/>
    </xf>
    <xf numFmtId="0" fontId="0" fillId="31" borderId="0" xfId="0" applyFill="1" applyAlignment="1">
      <alignment horizontal="left" vertical="top" wrapText="1"/>
    </xf>
    <xf numFmtId="0" fontId="0" fillId="0" borderId="0" xfId="0" applyFill="1" applyBorder="1" applyAlignment="1">
      <alignment horizontal="left" vertical="top" wrapText="1"/>
    </xf>
    <xf numFmtId="0" fontId="7" fillId="31" borderId="48" xfId="0" applyFont="1" applyFill="1" applyBorder="1" applyAlignment="1">
      <alignment horizontal="center" vertical="center"/>
    </xf>
    <xf numFmtId="0" fontId="7" fillId="31" borderId="1" xfId="0" applyFont="1" applyFill="1" applyBorder="1" applyAlignment="1">
      <alignment horizontal="center" vertical="center"/>
    </xf>
    <xf numFmtId="0" fontId="7" fillId="31" borderId="49" xfId="0" applyFont="1" applyFill="1" applyBorder="1" applyAlignment="1">
      <alignment horizontal="center" vertical="center"/>
    </xf>
    <xf numFmtId="0" fontId="7" fillId="31" borderId="48" xfId="0" applyFont="1" applyFill="1" applyBorder="1" applyAlignment="1">
      <alignment horizontal="center" vertical="center" wrapText="1"/>
    </xf>
    <xf numFmtId="0" fontId="7" fillId="31" borderId="1" xfId="0" applyFont="1" applyFill="1" applyBorder="1" applyAlignment="1">
      <alignment horizontal="center" vertical="center" wrapText="1"/>
    </xf>
    <xf numFmtId="0" fontId="7" fillId="31" borderId="49" xfId="0" applyFont="1" applyFill="1" applyBorder="1" applyAlignment="1">
      <alignment horizontal="center" vertical="center" wrapText="1"/>
    </xf>
    <xf numFmtId="0" fontId="7" fillId="31" borderId="45" xfId="0" applyFont="1" applyFill="1" applyBorder="1" applyAlignment="1">
      <alignment horizontal="center" vertical="center" wrapText="1"/>
    </xf>
    <xf numFmtId="0" fontId="7" fillId="31" borderId="47" xfId="0" applyFont="1" applyFill="1" applyBorder="1" applyAlignment="1">
      <alignment horizontal="center" vertical="center" wrapText="1"/>
    </xf>
    <xf numFmtId="0" fontId="7" fillId="31" borderId="3" xfId="0" applyFont="1" applyFill="1" applyBorder="1" applyAlignment="1">
      <alignment horizontal="center" vertical="center"/>
    </xf>
    <xf numFmtId="0" fontId="7" fillId="31" borderId="4" xfId="0" applyFont="1" applyFill="1" applyBorder="1" applyAlignment="1">
      <alignment horizontal="center" vertical="center"/>
    </xf>
    <xf numFmtId="0" fontId="7" fillId="31" borderId="5" xfId="0" applyFont="1" applyFill="1" applyBorder="1" applyAlignment="1">
      <alignment horizontal="center" vertical="center"/>
    </xf>
    <xf numFmtId="0" fontId="7" fillId="31" borderId="45" xfId="0" applyFont="1" applyFill="1" applyBorder="1" applyAlignment="1">
      <alignment horizontal="center" vertical="center"/>
    </xf>
    <xf numFmtId="0" fontId="7" fillId="31" borderId="47" xfId="0" applyFont="1" applyFill="1" applyBorder="1" applyAlignment="1">
      <alignment horizontal="center" vertical="center"/>
    </xf>
    <xf numFmtId="0" fontId="7" fillId="31" borderId="55" xfId="0" applyFont="1" applyFill="1" applyBorder="1" applyAlignment="1">
      <alignment horizontal="center" vertical="center" wrapText="1"/>
    </xf>
    <xf numFmtId="0" fontId="7" fillId="31" borderId="46"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7" fillId="31" borderId="14" xfId="0" applyFont="1" applyFill="1" applyBorder="1" applyAlignment="1">
      <alignment horizontal="center" vertical="center"/>
    </xf>
    <xf numFmtId="0" fontId="7" fillId="31" borderId="19" xfId="0" applyFont="1" applyFill="1" applyBorder="1" applyAlignment="1">
      <alignment horizontal="center" vertical="center"/>
    </xf>
    <xf numFmtId="0" fontId="7" fillId="31" borderId="15" xfId="0" applyFont="1" applyFill="1" applyBorder="1" applyAlignment="1">
      <alignment horizontal="center" vertical="center"/>
    </xf>
    <xf numFmtId="0" fontId="9" fillId="31" borderId="37" xfId="0" applyFont="1" applyFill="1" applyBorder="1" applyAlignment="1">
      <alignment horizontal="center" vertical="center"/>
    </xf>
    <xf numFmtId="0" fontId="9" fillId="31" borderId="56" xfId="0" applyFont="1" applyFill="1" applyBorder="1" applyAlignment="1">
      <alignment horizontal="center" vertical="center"/>
    </xf>
    <xf numFmtId="0" fontId="7" fillId="0" borderId="0" xfId="0" applyFont="1" applyAlignment="1">
      <alignment horizontal="left"/>
    </xf>
    <xf numFmtId="0" fontId="0" fillId="31" borderId="2" xfId="0" applyFill="1" applyBorder="1" applyAlignment="1">
      <alignment horizontal="center"/>
    </xf>
    <xf numFmtId="0" fontId="8" fillId="28" borderId="52" xfId="0" applyFont="1" applyFill="1" applyBorder="1" applyAlignment="1">
      <alignment horizontal="center" vertical="center"/>
    </xf>
    <xf numFmtId="0" fontId="8" fillId="28" borderId="53" xfId="0" applyFont="1" applyFill="1" applyBorder="1" applyAlignment="1">
      <alignment horizontal="center" vertical="center"/>
    </xf>
    <xf numFmtId="0" fontId="8" fillId="28" borderId="54" xfId="0" applyFont="1" applyFill="1" applyBorder="1" applyAlignment="1">
      <alignment horizontal="center" vertical="center"/>
    </xf>
    <xf numFmtId="0" fontId="8" fillId="29" borderId="16" xfId="0" applyFont="1" applyFill="1" applyBorder="1" applyAlignment="1">
      <alignment horizontal="center"/>
    </xf>
    <xf numFmtId="0" fontId="8" fillId="29" borderId="18" xfId="0" applyFont="1" applyFill="1" applyBorder="1" applyAlignment="1">
      <alignment horizontal="center"/>
    </xf>
    <xf numFmtId="0" fontId="8" fillId="29" borderId="17" xfId="0" applyFont="1" applyFill="1" applyBorder="1" applyAlignment="1">
      <alignment horizontal="center"/>
    </xf>
    <xf numFmtId="0" fontId="8" fillId="29" borderId="2" xfId="0" applyFont="1" applyFill="1" applyBorder="1" applyAlignment="1">
      <alignment horizontal="center"/>
    </xf>
    <xf numFmtId="0" fontId="3" fillId="0" borderId="0" xfId="1" applyBorder="1" applyAlignment="1">
      <alignment horizontal="left"/>
    </xf>
    <xf numFmtId="14" fontId="0" fillId="0" borderId="0" xfId="0" applyNumberFormat="1" applyBorder="1" applyAlignment="1">
      <alignment horizontal="left"/>
    </xf>
    <xf numFmtId="0" fontId="0" fillId="0" borderId="0" xfId="0" applyBorder="1" applyAlignment="1">
      <alignment horizontal="left"/>
    </xf>
    <xf numFmtId="0" fontId="8" fillId="29" borderId="61" xfId="0" applyFont="1" applyFill="1" applyBorder="1" applyAlignment="1">
      <alignment horizontal="center"/>
    </xf>
    <xf numFmtId="0" fontId="8" fillId="29" borderId="59" xfId="0" applyFont="1" applyFill="1" applyBorder="1" applyAlignment="1">
      <alignment horizontal="center"/>
    </xf>
  </cellXfs>
  <cellStyles count="329">
    <cellStyle name="%" xfId="221" xr:uid="{B3824178-9D6D-4F1C-AC36-B687945D2545}"/>
    <cellStyle name="20% - Accent1" xfId="290" builtinId="30" customBuiltin="1"/>
    <cellStyle name="20% - Accent1 2" xfId="195" xr:uid="{7A047519-5F69-4B0A-A3AD-864CFC801634}"/>
    <cellStyle name="20% - Accent1 2 2" xfId="78" xr:uid="{B142D060-42C0-48F4-88FF-47F6B04A83B7}"/>
    <cellStyle name="20% - Accent1 2 2 2" xfId="224" xr:uid="{A00E8911-1593-4920-BDDB-63169DC8C584}"/>
    <cellStyle name="20% - Accent1 2 2 3" xfId="35" xr:uid="{206CC187-6A85-472D-805E-F46B31F40F4E}"/>
    <cellStyle name="20% - Accent2" xfId="294" builtinId="34" customBuiltin="1"/>
    <cellStyle name="20% - Accent2 2" xfId="188" xr:uid="{1651D4DE-A867-43D6-8FFD-7EC3262DFA90}"/>
    <cellStyle name="20% - Accent2 2 2" xfId="111" xr:uid="{A7E5C0E4-B0D0-4372-84F0-D82C4071DB4B}"/>
    <cellStyle name="20% - Accent2 2 2 2" xfId="210" xr:uid="{351665A4-F4A1-43ED-8DBB-D30348D2AC1F}"/>
    <cellStyle name="20% - Accent2 2 2 3" xfId="119" xr:uid="{4C715E07-3141-404F-A4D9-2007D63DDDB7}"/>
    <cellStyle name="20% - Accent3" xfId="298" builtinId="38" customBuiltin="1"/>
    <cellStyle name="20% - Accent3 2" xfId="264" xr:uid="{00BE7047-24F6-4B26-8DA5-CAC22E71815A}"/>
    <cellStyle name="20% - Accent3 2 2" xfId="113" xr:uid="{6B5F4946-94E6-4D2A-991D-20921E954B95}"/>
    <cellStyle name="20% - Accent3 2 2 2" xfId="270" xr:uid="{1D88C1B2-0208-4C34-A8EB-D32979DF9DAA}"/>
    <cellStyle name="20% - Accent3 2 2 3" xfId="171" xr:uid="{8A453B50-59DC-4122-A5BB-ED6EE8631222}"/>
    <cellStyle name="20% - Accent4" xfId="302" builtinId="42" customBuiltin="1"/>
    <cellStyle name="20% - Accent4 2" xfId="244" xr:uid="{948722B2-5F3B-4D4A-974E-FF85FE196463}"/>
    <cellStyle name="20% - Accent4 2 2" xfId="179" xr:uid="{675374B2-1B82-421D-9251-1DD3F96F57F4}"/>
    <cellStyle name="20% - Accent4 2 2 2" xfId="200" xr:uid="{332DBA85-E93C-4E1E-A1F8-43CB454E8554}"/>
    <cellStyle name="20% - Accent4 2 2 3" xfId="247" xr:uid="{42F02A56-78F3-49B7-AC8C-84CDF546B6DF}"/>
    <cellStyle name="20% - Accent5" xfId="306" builtinId="46" customBuiltin="1"/>
    <cellStyle name="20% - Accent5 2" xfId="265" xr:uid="{13A169DA-AB59-409E-A193-0445ED6B92FC}"/>
    <cellStyle name="20% - Accent5 2 2" xfId="129" xr:uid="{8D8410B7-5037-4053-A615-E78AEE03F16F}"/>
    <cellStyle name="20% - Accent5 2 2 2" xfId="92" xr:uid="{0E4B9E1A-172A-4348-9DF3-E51DA6B3D734}"/>
    <cellStyle name="20% - Accent5 2 2 3" xfId="25" xr:uid="{78006CA6-DFA4-4BE1-ADF4-7E3F05BBB15C}"/>
    <cellStyle name="20% - Accent6" xfId="310" builtinId="50" customBuiltin="1"/>
    <cellStyle name="20% - Accent6 2" xfId="71" xr:uid="{48E88641-9A82-4B80-8B7A-08FE7EE7BED8}"/>
    <cellStyle name="20% - Accent6 2 2" xfId="280" xr:uid="{E6D1B4CA-BDEE-40DC-82C8-4CE1C92FE555}"/>
    <cellStyle name="20% - Accent6 2 2 2" xfId="151" xr:uid="{892B33C5-C70F-49DF-ACCA-B006CF30778D}"/>
    <cellStyle name="20% - Accent6 2 2 3" xfId="34" xr:uid="{D832EF9D-8651-41AB-808A-8C7F21FB6519}"/>
    <cellStyle name="40% - Accent1" xfId="291" builtinId="31" customBuiltin="1"/>
    <cellStyle name="40% - Accent1 2" xfId="105" xr:uid="{07388F84-8645-4876-AB77-8087042ACDB1}"/>
    <cellStyle name="40% - Accent1 2 2" xfId="165" xr:uid="{A1F67B9B-8F09-4C21-89E1-AB75B245B50F}"/>
    <cellStyle name="40% - Accent1 2 2 2" xfId="127" xr:uid="{CE612256-B49E-4DD8-B4FB-E2DCEABA1450}"/>
    <cellStyle name="40% - Accent1 2 2 3" xfId="38" xr:uid="{7024A4D1-F073-4378-A3D6-505414C65202}"/>
    <cellStyle name="40% - Accent2" xfId="295" builtinId="35" customBuiltin="1"/>
    <cellStyle name="40% - Accent2 2" xfId="245" xr:uid="{432AE688-8EEE-4DF9-980C-4114F80572B8}"/>
    <cellStyle name="40% - Accent2 2 2" xfId="202" xr:uid="{F6B92AF7-5F71-49FC-A003-71B3AF1ADAD8}"/>
    <cellStyle name="40% - Accent2 2 2 2" xfId="18" xr:uid="{5B3EDEF9-53B2-4A02-A7FA-7B9BACE90F34}"/>
    <cellStyle name="40% - Accent2 2 2 3" xfId="163" xr:uid="{40471A4B-8ECD-4F12-B3E4-44C79F660B76}"/>
    <cellStyle name="40% - Accent3" xfId="299" builtinId="39" customBuiltin="1"/>
    <cellStyle name="40% - Accent3 2" xfId="19" xr:uid="{17C0F8EC-707E-4EB1-9026-EC21497D9AFD}"/>
    <cellStyle name="40% - Accent3 2 2" xfId="215" xr:uid="{60C967B3-129A-46D1-B262-670703070B35}"/>
    <cellStyle name="40% - Accent3 2 2 2" xfId="228" xr:uid="{410A9DF2-D6F7-4B88-8467-924FD877AAFB}"/>
    <cellStyle name="40% - Accent3 2 2 3" xfId="173" xr:uid="{0AAA885E-FE84-47E7-AB24-7668C8F46239}"/>
    <cellStyle name="40% - Accent4" xfId="303" builtinId="43" customBuiltin="1"/>
    <cellStyle name="40% - Accent4 2" xfId="64" xr:uid="{AE44F908-0117-4EA3-9D8E-214D5BB59478}"/>
    <cellStyle name="40% - Accent4 2 2" xfId="274" xr:uid="{893C9B39-EA09-42B4-A90C-40B920AF400A}"/>
    <cellStyle name="40% - Accent4 2 2 2" xfId="205" xr:uid="{84A4BB76-168C-43DB-A063-0FCFE60DA349}"/>
    <cellStyle name="40% - Accent4 2 2 3" xfId="72" xr:uid="{4300F56F-EC7F-409E-92D3-35FC08872C69}"/>
    <cellStyle name="40% - Accent5" xfId="307" builtinId="47" customBuiltin="1"/>
    <cellStyle name="40% - Accent5 2" xfId="17" xr:uid="{C82B1C64-AF99-434C-AEDB-EE2605147116}"/>
    <cellStyle name="40% - Accent5 2 2" xfId="140" xr:uid="{26F14A08-3C3C-4B3B-B4CF-8229966328A0}"/>
    <cellStyle name="40% - Accent5 2 2 2" xfId="94" xr:uid="{75FF36EF-D566-4848-BFD9-D4E1DD3C2507}"/>
    <cellStyle name="40% - Accent5 2 2 3" xfId="14" xr:uid="{451C71C5-3B94-4573-A415-47CAA8ABFCBA}"/>
    <cellStyle name="40% - Accent6" xfId="311" builtinId="51" customBuiltin="1"/>
    <cellStyle name="40% - Accent6 2" xfId="167" xr:uid="{BBE1A2CD-35F6-4656-9CF4-D4C11DD7A327}"/>
    <cellStyle name="40% - Accent6 2 2" xfId="249" xr:uid="{08057416-8AD4-48E2-BF7D-20D9832C6B9F}"/>
    <cellStyle name="40% - Accent6 2 2 2" xfId="104" xr:uid="{04F0F859-CC05-4C65-A05D-87809DF46793}"/>
    <cellStyle name="40% - Accent6 2 2 3" xfId="164" xr:uid="{41CF4ED9-100A-4C45-87A6-BF92143B3751}"/>
    <cellStyle name="5x indented GHG Textfiels" xfId="122" xr:uid="{D023E408-DF1D-4968-8E45-17879056EF17}"/>
    <cellStyle name="60% - Accent1" xfId="292" builtinId="32" customBuiltin="1"/>
    <cellStyle name="60% - Accent1 2" xfId="23" xr:uid="{65BCFE5A-4235-4068-AA49-B61E60AC5E1D}"/>
    <cellStyle name="60% - Accent1 2 2" xfId="174" xr:uid="{4C4329A4-40E3-4F6C-B252-1848225FA7FE}"/>
    <cellStyle name="60% - Accent1 2 2 2" xfId="56" xr:uid="{2EBFEEDA-0DB4-47BF-939B-B11D58E2F201}"/>
    <cellStyle name="60% - Accent1 2 2 3" xfId="125" xr:uid="{002F6538-D7AC-425B-90F2-4E9203DFBDC7}"/>
    <cellStyle name="60% - Accent2" xfId="296" builtinId="36" customBuiltin="1"/>
    <cellStyle name="60% - Accent2 2" xfId="185" xr:uid="{4CEFB5C8-7EE9-4B1A-8FDC-DDAFD709DC64}"/>
    <cellStyle name="60% - Accent2 2 2" xfId="33" xr:uid="{ED7DD3B0-674F-472F-A751-E8B4F8634EA1}"/>
    <cellStyle name="60% - Accent2 2 2 2" xfId="10" xr:uid="{A1BA8A8E-6EE9-4DEC-85A2-75A98BE79481}"/>
    <cellStyle name="60% - Accent2 2 2 3" xfId="126" xr:uid="{BE05FBDB-32DA-4E20-B48C-D6F79A8A1FF9}"/>
    <cellStyle name="60% - Accent3" xfId="300" builtinId="40" customBuiltin="1"/>
    <cellStyle name="60% - Accent3 2" xfId="9" xr:uid="{A0C0BA06-69EB-43C5-8BBD-861097834F4A}"/>
    <cellStyle name="60% - Accent3 2 2" xfId="75" xr:uid="{D3E1E201-8C84-4A6D-8C70-0F75E2198019}"/>
    <cellStyle name="60% - Accent3 2 2 2" xfId="120" xr:uid="{FEF908C8-A520-47E2-8DC5-F73FE5959FCF}"/>
    <cellStyle name="60% - Accent3 2 2 3" xfId="106" xr:uid="{D542651F-191F-46EA-AFDB-9D39F3592CF5}"/>
    <cellStyle name="60% - Accent4" xfId="304" builtinId="44" customBuiltin="1"/>
    <cellStyle name="60% - Accent4 2" xfId="77" xr:uid="{9E25DC4C-017F-41A7-983E-E25C8C0997A9}"/>
    <cellStyle name="60% - Accent4 2 2" xfId="199" xr:uid="{1511B76E-6866-4C78-8BEF-C12F4BF4986A}"/>
    <cellStyle name="60% - Accent4 2 2 2" xfId="144" xr:uid="{0FCE6712-EA20-4A58-8BE2-B9B433EE3228}"/>
    <cellStyle name="60% - Accent4 2 2 3" xfId="272" xr:uid="{85BB2620-B7D2-4533-A337-9326E657835C}"/>
    <cellStyle name="60% - Accent5" xfId="308" builtinId="48" customBuiltin="1"/>
    <cellStyle name="60% - Accent5 2" xfId="208" xr:uid="{1B016D5E-3B2C-4D82-9A44-D40C9B51316A}"/>
    <cellStyle name="60% - Accent5 2 2" xfId="91" xr:uid="{8F7F8CAA-CE48-48F8-B038-398B82D51D2E}"/>
    <cellStyle name="60% - Accent5 2 2 2" xfId="239" xr:uid="{06093B37-F23A-490D-82BE-726C194600CB}"/>
    <cellStyle name="60% - Accent5 2 2 3" xfId="87" xr:uid="{FEA44730-FF79-43B7-80FB-3AFE1EB08855}"/>
    <cellStyle name="60% - Accent6" xfId="312" builtinId="52" customBuiltin="1"/>
    <cellStyle name="60% - Accent6 2" xfId="143" xr:uid="{88AB7C35-ADE9-4191-802B-D4A2AD3EBF39}"/>
    <cellStyle name="60% - Accent6 2 2" xfId="201" xr:uid="{FC6CF5E2-6A8F-4A6B-84F6-DC7537338D0E}"/>
    <cellStyle name="60% - Accent6 2 2 2" xfId="246" xr:uid="{E31EEC39-4343-4D2A-96FC-0A7373AC1909}"/>
    <cellStyle name="60% - Accent6 2 2 3" xfId="256" xr:uid="{24DF9DC3-339D-427F-8A61-4EAE5EB55695}"/>
    <cellStyle name="Accent1" xfId="289" builtinId="29" customBuiltin="1"/>
    <cellStyle name="Accent1 2" xfId="255" xr:uid="{3F71130A-3CAE-4524-9FA0-323C28F9B517}"/>
    <cellStyle name="Accent1 2 2" xfId="263" xr:uid="{BF78FA00-4B9F-4B4E-B3BF-2818918A18D8}"/>
    <cellStyle name="Accent1 2 2 2" xfId="93" xr:uid="{E5161429-44E7-4647-A1BD-B3D0413E0F9D}"/>
    <cellStyle name="Accent1 2 2 3" xfId="281" xr:uid="{9ED2CF5C-CD78-4565-A60E-35E9D6AD2241}"/>
    <cellStyle name="Accent2" xfId="293" builtinId="33" customBuiltin="1"/>
    <cellStyle name="Accent2 2" xfId="248" xr:uid="{E52B5E1A-101D-4324-ADE4-1C154B653BF3}"/>
    <cellStyle name="Accent2 2 2" xfId="107" xr:uid="{3A69ECC3-47EC-4941-99E6-FD84CEC1ADC7}"/>
    <cellStyle name="Accent2 2 2 2" xfId="229" xr:uid="{3FF24C82-3997-4668-8B64-A68266C643C5}"/>
    <cellStyle name="Accent2 2 2 3" xfId="157" xr:uid="{28B20FD3-305A-45CB-92DF-ECD4F0658199}"/>
    <cellStyle name="Accent3" xfId="297" builtinId="37" customBuiltin="1"/>
    <cellStyle name="Accent3 2" xfId="98" xr:uid="{AC875834-ECD0-490A-A84B-87F6BDE15C5F}"/>
    <cellStyle name="Accent3 2 2" xfId="101" xr:uid="{54EC00FA-9691-485B-9491-D7E8A3E18ABF}"/>
    <cellStyle name="Accent3 2 2 2" xfId="207" xr:uid="{32905617-98F8-4D80-84DD-59F61E563F6A}"/>
    <cellStyle name="Accent3 2 2 3" xfId="80" xr:uid="{8BA608F6-2AF3-410B-9EEB-06AE50C30110}"/>
    <cellStyle name="Accent4" xfId="301" builtinId="41" customBuiltin="1"/>
    <cellStyle name="Accent4 2" xfId="103" xr:uid="{10EB4260-A266-459F-A5B6-0AF30511BD8A}"/>
    <cellStyle name="Accent4 2 2" xfId="237" xr:uid="{7B4575B0-63E0-41BF-97A7-46E8A38086F7}"/>
    <cellStyle name="Accent4 2 2 2" xfId="41" xr:uid="{8C69F7FE-6B7E-48F4-B1AB-D9D510369023}"/>
    <cellStyle name="Accent4 2 2 3" xfId="227" xr:uid="{D8C05FF9-9F24-4945-8360-FADAEC956F10}"/>
    <cellStyle name="Accent5" xfId="305" builtinId="45" customBuiltin="1"/>
    <cellStyle name="Accent5 2" xfId="45" xr:uid="{D476397E-1115-429E-B894-536FBFEBAA98}"/>
    <cellStyle name="Accent5 2 2" xfId="57" xr:uid="{D13D9378-F283-4F6C-B70C-B1E1DEE4E182}"/>
    <cellStyle name="Accent5 2 2 2" xfId="155" xr:uid="{A715199C-B280-4B5C-8E3D-AB5E9BAC0D2D}"/>
    <cellStyle name="Accent5 2 2 3" xfId="193" xr:uid="{6869FD41-3CF0-42E3-98A7-90A9B5820CCC}"/>
    <cellStyle name="Accent6" xfId="309" builtinId="49" customBuiltin="1"/>
    <cellStyle name="Accent6 2" xfId="243" xr:uid="{5BD5925D-A8A2-4133-BAD2-31C3ABA5FB2C}"/>
    <cellStyle name="Accent6 2 2" xfId="142" xr:uid="{A2B4698E-5AB3-49DD-8804-1C485A07D392}"/>
    <cellStyle name="Accent6 2 2 2" xfId="240" xr:uid="{6D25AB17-96AA-4484-8D32-2F16926E164B}"/>
    <cellStyle name="Accent6 2 2 3" xfId="117" xr:uid="{3DC5398E-B145-4E1D-9819-0468A549D987}"/>
    <cellStyle name="AggblueCels_1x" xfId="79" xr:uid="{43064AF9-D66B-4EE1-938F-D28A7044B593}"/>
    <cellStyle name="Bad" xfId="286" builtinId="27" customBuiltin="1"/>
    <cellStyle name="Bad 2" xfId="259" xr:uid="{88BFC4B4-9D76-41EC-A12C-BE388684E683}"/>
    <cellStyle name="Bad 2 2" xfId="178" xr:uid="{66C151E2-B3D1-4526-8798-B3EC73B900EB}"/>
    <cellStyle name="Bad 2 2 2" xfId="175" xr:uid="{DA2DEABF-EB00-4565-AC22-1D8689BC3506}"/>
    <cellStyle name="Bad 2 2 3" xfId="150" xr:uid="{8DC51A56-111C-412E-B79B-CE8F67ED91A8}"/>
    <cellStyle name="Bold GHG Numbers (0.00)" xfId="65" xr:uid="{DADE53CA-0441-40AE-BCE6-12B1910C2FD8}"/>
    <cellStyle name="Calculation 2" xfId="222" xr:uid="{D31752F9-9DE4-4923-BAD1-BE0BD6A9AF22}"/>
    <cellStyle name="Calculation 2 2" xfId="15" xr:uid="{6D6D2FBE-5A4A-49C4-8798-8E321F7FD45A}"/>
    <cellStyle name="Calculation 2 2 2" xfId="47" xr:uid="{26296AC1-4F82-44E8-9DE3-2335A574BD10}"/>
    <cellStyle name="Calculation 2 2 2 2" xfId="116" xr:uid="{FCDC1441-9FA4-45D3-AEFC-9D918151E990}"/>
    <cellStyle name="Calculation 2 2 2 3" xfId="36" xr:uid="{D4A8DE78-BB19-4798-BBAF-79E4A719A59D}"/>
    <cellStyle name="Calculation 2 3" xfId="59" xr:uid="{0CACE1C0-C76D-4A63-8E06-54F74CDA87BB}"/>
    <cellStyle name="Calculation 2 3 2" xfId="121" xr:uid="{65F9802F-73A6-4AD6-9D14-E3C5E6E1231E}"/>
    <cellStyle name="Calculation 2 3 2 2" xfId="115" xr:uid="{CB70F154-0DC9-4E00-AE9A-11858B80A16D}"/>
    <cellStyle name="Calculation 2 3 2 3" xfId="53" xr:uid="{EE3D9311-9134-4474-9710-7243D099E841}"/>
    <cellStyle name="Calculation 2 4" xfId="283" xr:uid="{E8502592-D42E-4946-848C-476CE825F564}"/>
    <cellStyle name="Calculation 2 4 2" xfId="212" xr:uid="{66A7A664-2C96-47C6-AF47-8B4A1EAC064C}"/>
    <cellStyle name="Calculation 2 4 3" xfId="138" xr:uid="{CEC2D0DF-D71C-4EDA-9EA2-5315C61046D2}"/>
    <cellStyle name="Calculation 2 5" xfId="315" xr:uid="{56E0434D-5094-40E2-B135-BA44CEAD8A82}"/>
    <cellStyle name="Calculation 3" xfId="314" xr:uid="{AA843ED4-2A3C-4B9A-867E-0BD19B50C2D8}"/>
    <cellStyle name="Check Cell" xfId="288" builtinId="23" customBuiltin="1"/>
    <cellStyle name="Check Cell 2" xfId="74" xr:uid="{4BAE4F91-335C-4682-BF35-AA2FBFDF1421}"/>
    <cellStyle name="Check Cell 2 2" xfId="66" xr:uid="{3D26347B-5914-4880-BD1C-D16095235350}"/>
    <cellStyle name="Check Cell 2 2 2" xfId="261" xr:uid="{E4AC8DAF-B8EB-490C-B4F5-14AA3DDB280E}"/>
    <cellStyle name="Check Cell 2 2 3" xfId="225" xr:uid="{63172AA4-42F8-4328-9930-A42F34C0EB9C}"/>
    <cellStyle name="Comma" xfId="6" builtinId="3"/>
    <cellStyle name="Comma 2" xfId="50" xr:uid="{6D8F3F7E-3BC8-405A-B103-256000C2CBCF}"/>
    <cellStyle name="Comma 2 2" xfId="213" xr:uid="{1B633E90-500B-4FE5-A38A-0C1CDAAD8C6A}"/>
    <cellStyle name="Comma 2 3" xfId="166" xr:uid="{7A8FEDB5-9292-4806-A318-8CEA3D685E31}"/>
    <cellStyle name="Comma 2 4" xfId="187" xr:uid="{E92B58CC-6A88-4599-8A98-6F9DA57559D1}"/>
    <cellStyle name="Comma 2 5" xfId="317" xr:uid="{BD568FBD-3CCB-4079-8F5A-F4D93C8F0F33}"/>
    <cellStyle name="Comma 3" xfId="102" xr:uid="{57D61EA2-CF79-4204-B423-DB127F2F74E7}"/>
    <cellStyle name="Comma 4" xfId="68" xr:uid="{2D6F1CDB-50F2-4F59-A908-ADEAE941D526}"/>
    <cellStyle name="Comma 5" xfId="316" xr:uid="{8CA78E61-164B-4D6F-83A6-34A0C8A8873F}"/>
    <cellStyle name="Cover" xfId="217" xr:uid="{C1085DB9-0B31-4ED6-9B98-D0545FA9F50C}"/>
    <cellStyle name="Currency 2" xfId="4" xr:uid="{7E84B6A9-385C-40CC-B137-17F06ECC8C0A}"/>
    <cellStyle name="Dezimal [0]_Tfz-Anzahl" xfId="99" xr:uid="{878EB393-6F43-4631-BE12-E80925E49239}"/>
    <cellStyle name="Dezimal_Tfz-Anzahl" xfId="123" xr:uid="{B69FDF31-00A1-4D95-8845-C6F41158D3F1}"/>
    <cellStyle name="Euro" xfId="177" xr:uid="{217E4202-13CD-468C-831B-AC432E869FB8}"/>
    <cellStyle name="Euro 2" xfId="181" xr:uid="{BC9C38DA-66C6-499E-AF77-5946FC69035E}"/>
    <cellStyle name="Explanatory Text 2" xfId="73" xr:uid="{8739ACAD-3DB8-4923-A82B-4611D958BCEC}"/>
    <cellStyle name="Explanatory Text 3" xfId="318" xr:uid="{33688291-B4D9-4B51-ADD0-C2CC33196733}"/>
    <cellStyle name="Followed Hyperlink 2" xfId="319" xr:uid="{21EE48F7-0255-44FD-94A2-4478E24E3E6F}"/>
    <cellStyle name="Good" xfId="285" builtinId="26" customBuiltin="1"/>
    <cellStyle name="Good 2" xfId="191" xr:uid="{0B72EC81-FC8C-4EAA-A71A-886422957235}"/>
    <cellStyle name="Good 2 2" xfId="218" xr:uid="{7CD31B8F-BEDC-41A7-8F77-655ED3298868}"/>
    <cellStyle name="Good 2 2 2" xfId="230" xr:uid="{33536C2E-52F6-4310-B732-829CF61A8C99}"/>
    <cellStyle name="Good 2 2 3" xfId="198" xr:uid="{73551EC8-887E-4FD5-A53A-048276EDE57A}"/>
    <cellStyle name="Heading" xfId="145" xr:uid="{5478955F-9AAD-435C-99A5-F143C20E0AA7}"/>
    <cellStyle name="Heading 1 2" xfId="148" xr:uid="{259317DF-D017-4C69-95EA-7E894D484E4D}"/>
    <cellStyle name="Heading 2 2" xfId="251" xr:uid="{11E3943C-A39C-48E5-AF38-8CBC49C6644A}"/>
    <cellStyle name="Heading 3 2" xfId="51" xr:uid="{A27C9939-0AA2-4C50-BB8C-24973D89D88D}"/>
    <cellStyle name="Heading 4 2" xfId="90" xr:uid="{694EA197-09A7-4A95-89BA-702518B8D309}"/>
    <cellStyle name="Hyperlink" xfId="1" builtinId="8"/>
    <cellStyle name="Hyperlink 2" xfId="235" xr:uid="{C227FB8D-F7A4-43CB-9BA1-2A5F4627400C}"/>
    <cellStyle name="Hyperlink 3" xfId="262" xr:uid="{C384E84B-33CA-47BB-9CA1-2D0185453E89}"/>
    <cellStyle name="Hyperlink 4" xfId="42" xr:uid="{10D8B6A9-A85E-41E2-8EE5-2A7502BAA269}"/>
    <cellStyle name="Hyperlink 5" xfId="268" xr:uid="{28000259-132C-442B-B574-09C2A13B460A}"/>
    <cellStyle name="Hyperlink 6" xfId="232" xr:uid="{73674DD2-B5E2-46BA-A8FD-25DA674214E5}"/>
    <cellStyle name="Hyperlink 7" xfId="320" xr:uid="{305C775A-8332-4D60-98A3-02B8E1EE8903}"/>
    <cellStyle name="Input 2" xfId="62" xr:uid="{72E832B3-54C4-46BC-9906-B5B3F0472BA0}"/>
    <cellStyle name="Input 2 2" xfId="231" xr:uid="{6A681655-3312-4259-B9B8-4073428D6641}"/>
    <cellStyle name="Input 2 2 2" xfId="226" xr:uid="{A8061B5A-14E1-4336-BF4A-AAC6C23E2D38}"/>
    <cellStyle name="Input 2 2 2 2" xfId="55" xr:uid="{BECD91F3-86E8-48E4-AC4F-F1169CF9A51D}"/>
    <cellStyle name="Input 2 2 2 3" xfId="67" xr:uid="{B0D2CA48-8BB7-4EA1-9227-1572D6985D0B}"/>
    <cellStyle name="Input 2 3" xfId="40" xr:uid="{3C7F85F2-BEBE-479D-8A75-EE16DE7D2991}"/>
    <cellStyle name="Input 2 3 2" xfId="254" xr:uid="{547DADEB-5CC4-4A1F-B8F9-CD54EA95A5DC}"/>
    <cellStyle name="Input 2 3 2 2" xfId="236" xr:uid="{3607FB34-09C9-4F8C-90AE-D09F69999E12}"/>
    <cellStyle name="Input 2 3 2 3" xfId="20" xr:uid="{EB87ED30-ED79-472F-A988-EB509E6A2271}"/>
    <cellStyle name="Input 2 4" xfId="238" xr:uid="{320CDFCD-2D8A-4AE4-A300-C99DC0A761AD}"/>
    <cellStyle name="Input 2 4 2" xfId="84" xr:uid="{E12CE254-B83C-46AA-91E1-4DF8366B1EBD}"/>
    <cellStyle name="Input 2 4 3" xfId="89" xr:uid="{67D017C6-AA78-4B2B-B782-E14D7C477098}"/>
    <cellStyle name="Input 3" xfId="321" xr:uid="{68622D16-1A18-470A-972D-71A6344DC65E}"/>
    <cellStyle name="Input data" xfId="322" xr:uid="{0420AF7F-27C8-42FF-BC4B-9DB26D1825AA}"/>
    <cellStyle name="InputCells12_BBorder_CRFReport-template" xfId="203" xr:uid="{43621B2D-8666-4C60-94E1-88C2B9B74835}"/>
    <cellStyle name="Linked Cell 2" xfId="149" xr:uid="{A9D245B0-0656-4BEF-906E-79A1F5923C15}"/>
    <cellStyle name="Linked Cell 3" xfId="323" xr:uid="{68B52DF1-8309-476D-B83F-84FBA2E8B70C}"/>
    <cellStyle name="Menu" xfId="21" xr:uid="{0955B780-75C6-4A10-84CA-EB348408AE2F}"/>
    <cellStyle name="Milliers [0]_03tabmat" xfId="16" xr:uid="{DD99C9D7-2948-4111-A1FE-E5582922030A}"/>
    <cellStyle name="Milliers_03tabmat" xfId="61" xr:uid="{A61807E0-C9E5-43F2-9BCC-67D933A68267}"/>
    <cellStyle name="Monétaire [0]_03tabmat" xfId="192" xr:uid="{8C09E48F-DD59-45D1-8953-7ABB413D5194}"/>
    <cellStyle name="Monétaire_03tabmat" xfId="209" xr:uid="{2522D231-18EF-4F47-AFA1-43568C4090A3}"/>
    <cellStyle name="Neutral" xfId="287" builtinId="28" customBuiltin="1"/>
    <cellStyle name="Neutral 2" xfId="128" xr:uid="{95BB1768-5C7D-4086-87FB-C705E5EED294}"/>
    <cellStyle name="Neutral 2 2" xfId="32" xr:uid="{FE56AED8-673B-4F11-A4D0-E2B5195A3260}"/>
    <cellStyle name="Neutral 2 2 2" xfId="219" xr:uid="{42473607-D8B7-4612-99B5-A480CDE1DAE0}"/>
    <cellStyle name="Neutral 2 2 3" xfId="257" xr:uid="{6A809E06-677D-4E2B-8E6A-A7A76D4D7CAE}"/>
    <cellStyle name="Normal" xfId="0" builtinId="0"/>
    <cellStyle name="Normal 10" xfId="69" xr:uid="{7E2582F9-4280-4DE8-A0AC-4839F9A6865A}"/>
    <cellStyle name="Normal 10 2" xfId="196" xr:uid="{9A38A057-68BF-4ACB-8A68-73B6732E86D4}"/>
    <cellStyle name="Normal 10 2 2" xfId="112" xr:uid="{9A0B36B6-B69C-4B0D-9DAC-3B37B96EF723}"/>
    <cellStyle name="Normal 10 3" xfId="273" xr:uid="{0FF80AEB-28B8-4430-BE0C-48E9EC2A8E1D}"/>
    <cellStyle name="Normal 10 3 2" xfId="204" xr:uid="{BA86DB6A-4707-411A-86D9-E354B335024F}"/>
    <cellStyle name="Normal 10 4" xfId="30" xr:uid="{4703AEE0-CA51-48B6-A9AB-414136F76688}"/>
    <cellStyle name="Normal 11" xfId="137" xr:uid="{0E7688A7-2A62-4E46-B1CD-1E42FF1C196A}"/>
    <cellStyle name="Normal 11 2" xfId="282" xr:uid="{40566E07-8C53-4212-A79C-01BE40727F99}"/>
    <cellStyle name="Normal 12" xfId="233" xr:uid="{D4BA85D5-39C4-4500-9795-711B5CB42EFB}"/>
    <cellStyle name="Normal 13" xfId="214" xr:uid="{34C38B49-E45F-4F23-99DC-6E26CBA16074}"/>
    <cellStyle name="Normal 13 2" xfId="197" xr:uid="{B14F7209-6591-4FBE-8944-A285D2F7222E}"/>
    <cellStyle name="Normal 13 3" xfId="136" xr:uid="{44B94A4C-EB7B-448B-B2B8-6B1D9FCB9F2D}"/>
    <cellStyle name="Normal 14" xfId="11" xr:uid="{AF11C518-8002-48E4-8865-82D8BE6A1AE1}"/>
    <cellStyle name="Normal 15" xfId="108" xr:uid="{328AC051-7DCF-4559-B96C-0CC3FC92A774}"/>
    <cellStyle name="Normal 16" xfId="313" xr:uid="{51E1761D-90F9-4C80-A771-F2D30DC7D11D}"/>
    <cellStyle name="Normal 17" xfId="86" xr:uid="{4806D1A5-C131-4504-ADBC-54213978DF68}"/>
    <cellStyle name="Normal 18" xfId="139" xr:uid="{88E6FE6F-6640-4FE0-B97B-B2FC18B2F832}"/>
    <cellStyle name="Normal 2" xfId="2" xr:uid="{D2CDD704-6E0C-4C37-945F-0E34BD1A7C45}"/>
    <cellStyle name="Normal 2 2" xfId="242" xr:uid="{2493740A-2936-4D01-9364-9FB7F84E63B0}"/>
    <cellStyle name="Normal 2 2 2" xfId="5" xr:uid="{3FB32369-1781-4260-91A2-5F4114874917}"/>
    <cellStyle name="Normal 2 3" xfId="100" xr:uid="{B60D044B-AE3C-4192-A9E3-6B6DD935EB3B}"/>
    <cellStyle name="Normal 3" xfId="3" xr:uid="{6DE3A57C-D678-4231-A6AE-C22CD61FB03B}"/>
    <cellStyle name="Normal 3 2" xfId="186" xr:uid="{A0C06DB5-1D7F-47F7-9638-0AE03AD6C929}"/>
    <cellStyle name="Normal 3 3" xfId="44" xr:uid="{29CFDA12-4E75-4B1C-BAA7-667F133CA87E}"/>
    <cellStyle name="Normal 3 4" xfId="24" xr:uid="{461409C2-0865-4E6E-991C-A5DE272F1764}"/>
    <cellStyle name="Normal 3 5" xfId="154" xr:uid="{6DBFCF33-EB55-4A2F-B82E-B562D11223E3}"/>
    <cellStyle name="Normal 4" xfId="170" xr:uid="{0BA3D03C-ED3D-457E-AB67-B169CCD94242}"/>
    <cellStyle name="Normal 4 2" xfId="96" xr:uid="{4C9CB87A-6F23-4055-899A-BC0E686F45B4}"/>
    <cellStyle name="Normal 4 2 2" xfId="52" xr:uid="{C75630FA-F558-496C-A945-EBAD302DD3DF}"/>
    <cellStyle name="Normal 4 3" xfId="276" xr:uid="{289CC10C-143B-44F2-9CB8-8806F936F8CA}"/>
    <cellStyle name="Normal 4 3 2" xfId="269" xr:uid="{556E8CB6-9DF9-4140-9A47-B5964C803C44}"/>
    <cellStyle name="Normal 4 4" xfId="162" xr:uid="{FE319A37-3166-4141-B9F4-30D1575FCC9F}"/>
    <cellStyle name="Normal 4 5" xfId="85" xr:uid="{A0BC9E83-189C-4178-9889-0D875DB8F20A}"/>
    <cellStyle name="Normal 5" xfId="114" xr:uid="{577385B8-3F78-4BA1-90EF-4C07B74612DD}"/>
    <cellStyle name="Normal 6" xfId="28" xr:uid="{E325E725-B85D-4BBE-B156-4366602C7BC1}"/>
    <cellStyle name="Normal 7" xfId="63" xr:uid="{856D73B4-FBBF-4612-8309-DFB3250EBD64}"/>
    <cellStyle name="Normal 8" xfId="267" xr:uid="{CD80AAF5-B78F-4D24-9F33-FDAFC16C7976}"/>
    <cellStyle name="Normal 9" xfId="131" xr:uid="{9049EEA8-864A-4E0D-A3D1-F23A82C8785B}"/>
    <cellStyle name="Normal GHG-Shade" xfId="110" xr:uid="{1827790D-05A7-4750-94C7-D2151D9B6B1D}"/>
    <cellStyle name="Note 2" xfId="279" xr:uid="{58AEBBCE-D134-4D4E-971C-CB27E3AB25FC}"/>
    <cellStyle name="Note 2 2" xfId="159" xr:uid="{D7A6F289-987B-413E-A369-0CEC9D3C4FB3}"/>
    <cellStyle name="Note 2 2 2" xfId="278" xr:uid="{6AD767F7-1615-4A90-8768-4A86F755CC02}"/>
    <cellStyle name="Note 2 2 2 2" xfId="22" xr:uid="{D8F7D518-4300-43B7-943C-87EB93AF95AC}"/>
    <cellStyle name="Note 2 2 2 3" xfId="29" xr:uid="{6388DDD4-8DA2-45B5-BD95-922C19B31823}"/>
    <cellStyle name="Note 2 3" xfId="95" xr:uid="{4FC6C2FE-9EC8-4DD5-B1C3-2F9D813CE3B9}"/>
    <cellStyle name="Note 2 3 2" xfId="46" xr:uid="{8BE23790-C8EE-4D3B-85EB-E39242E544D2}"/>
    <cellStyle name="Note 2 3 3" xfId="132" xr:uid="{CF6D94E6-2F13-4B97-9F1D-024CA7F35D3F}"/>
    <cellStyle name="Note 3" xfId="324" xr:uid="{0820BA02-0BCE-47BA-BC47-E55D162BF923}"/>
    <cellStyle name="Output 2" xfId="176" xr:uid="{4CA70222-EBD8-4F50-9B67-D919618E69C1}"/>
    <cellStyle name="Output 2 2" xfId="180" xr:uid="{9A6F954C-E514-4A73-964F-22370DC7BE99}"/>
    <cellStyle name="Output 2 2 2" xfId="189" xr:uid="{B029D855-F040-4CA4-B3B6-857A9C350D4B}"/>
    <cellStyle name="Output 2 2 2 2" xfId="184" xr:uid="{ACA77CDC-AB42-44D8-B9E7-327CB550E03B}"/>
    <cellStyle name="Output 2 2 2 3" xfId="49" xr:uid="{EA8CDD6E-1CB9-4EEA-B980-083EB2EBFD45}"/>
    <cellStyle name="Output 2 3" xfId="253" xr:uid="{14EB6A15-1F93-4F4E-8028-CFF398E98B32}"/>
    <cellStyle name="Output 2 3 2" xfId="206" xr:uid="{6A1B30D4-C221-4188-8ACF-CEAAA429DC11}"/>
    <cellStyle name="Output 2 3 3" xfId="83" xr:uid="{012F9EE5-2AD3-4422-825E-8E5B463D6444}"/>
    <cellStyle name="Output 3" xfId="325" xr:uid="{C6309940-27BA-4DA5-94E1-063B957F7E15}"/>
    <cellStyle name="Percent" xfId="7" builtinId="5"/>
    <cellStyle name="Percent 10" xfId="58" xr:uid="{26511327-3DE5-4A2A-98F0-B76482295CC2}"/>
    <cellStyle name="Percent 10 2" xfId="118" xr:uid="{BF5F31B0-4FBE-4C21-93C4-09426A56F6B2}"/>
    <cellStyle name="Percent 10 3" xfId="88" xr:uid="{C643BAE0-6B1E-40AD-B1CB-B0CDDAE52FC0}"/>
    <cellStyle name="Percent 2" xfId="172" xr:uid="{DB7F79EB-24AC-4639-8D4D-6356055003B3}"/>
    <cellStyle name="Percent 2 2" xfId="168" xr:uid="{246B43BB-03EE-45F0-89A0-3573FBF527A8}"/>
    <cellStyle name="Percent 2 3" xfId="39" xr:uid="{D006AF8F-6A7C-485F-A65F-EFD2212B074C}"/>
    <cellStyle name="Percent 2 4" xfId="326" xr:uid="{28E37F00-CBD9-4CCC-93FF-5774A2125A14}"/>
    <cellStyle name="Percent 3" xfId="135" xr:uid="{60DC6A3B-59B7-4D1B-83A8-70C435676BD2}"/>
    <cellStyle name="Percent 4" xfId="216" xr:uid="{225868BD-511B-49B9-B620-19FCD7D169D1}"/>
    <cellStyle name="Percent 5" xfId="241" xr:uid="{C596CB24-F290-4A35-BCF1-3B5811D8A75F}"/>
    <cellStyle name="Percent 5 2" xfId="124" xr:uid="{F2A434F1-1452-43D2-9B71-5C332BD361DC}"/>
    <cellStyle name="Percent 6" xfId="211" xr:uid="{BEC0878F-107A-4D69-AE61-0C9EDA492A15}"/>
    <cellStyle name="Percent 7" xfId="141" xr:uid="{9D43C67A-9017-44AC-8990-B6D84AAA2FC5}"/>
    <cellStyle name="Percent 8" xfId="152" xr:uid="{BEEDCF75-563A-4310-B00E-530A164EAC96}"/>
    <cellStyle name="Percent 9" xfId="54" xr:uid="{FC66DAAF-989B-4AC6-828A-4E42F8AB9C3B}"/>
    <cellStyle name="Publication_style" xfId="43" xr:uid="{29C5850D-6009-47BD-9E81-6FDEA6ED87C6}"/>
    <cellStyle name="Refdb standard" xfId="48" xr:uid="{990CD5E5-E92C-46F4-9AEF-350B32CA9DD0}"/>
    <cellStyle name="Refdb standard 2" xfId="160" xr:uid="{6ADF50D5-F577-4F9A-AE66-1A4C4EEAE663}"/>
    <cellStyle name="Selection" xfId="327" xr:uid="{D5D14330-9A40-4031-AB7A-DE5BA6892148}"/>
    <cellStyle name="Shade" xfId="277" xr:uid="{573FD62D-BA41-49A3-8E0B-CDC10B23B1DB}"/>
    <cellStyle name="Shade 2" xfId="27" xr:uid="{5C4DE984-8FDB-4B1E-929F-3EE8D8068A9D}"/>
    <cellStyle name="Shade 3" xfId="37" xr:uid="{85B6365A-A355-4F00-9C93-451B62D2AB3B}"/>
    <cellStyle name="Source" xfId="81" xr:uid="{5E70C608-E819-4761-B4E8-67C771D0ADE5}"/>
    <cellStyle name="Source Hed" xfId="258" xr:uid="{BC41D34E-6694-4307-A13A-CF665CC9E4F0}"/>
    <cellStyle name="Source Text" xfId="133" xr:uid="{4BCB32F4-3A36-4943-A6B7-64F3B062FF19}"/>
    <cellStyle name="Standard_E00seit45" xfId="153" xr:uid="{31F3C5EF-CF7D-4E0D-9F4B-7F2F46D8642F}"/>
    <cellStyle name="Style 21" xfId="146" xr:uid="{0C6BDAF9-C1D7-4F44-811E-63A2B30770C8}"/>
    <cellStyle name="Style 21 2" xfId="31" xr:uid="{A14F250C-0C66-476A-BAE1-71F2257A6BCC}"/>
    <cellStyle name="Style 22" xfId="183" xr:uid="{5AD5EF69-39EB-4E39-AFB6-704ED9BDD20F}"/>
    <cellStyle name="Style 22 2" xfId="8" xr:uid="{4A2BEE19-242C-4C59-9B72-9A1617612560}"/>
    <cellStyle name="Style 23" xfId="26" xr:uid="{9C25263D-3C84-4489-8400-7F402242F42C}"/>
    <cellStyle name="Style 23 2" xfId="271" xr:uid="{7783AE39-A756-4892-ABD6-E0CA7589BD26}"/>
    <cellStyle name="Style 24" xfId="156" xr:uid="{2E53C58B-B3A3-418A-815F-2066D368FCE5}"/>
    <cellStyle name="Style 24 2" xfId="234" xr:uid="{58B869FD-680D-4EC9-BDEE-18E06A0B37BE}"/>
    <cellStyle name="Style 29" xfId="275" xr:uid="{2E2F97AC-3BD4-462A-AE85-C1936FED9DE8}"/>
    <cellStyle name="Style 29 2" xfId="220" xr:uid="{B33B503E-337E-4F38-AFB4-81077056411E}"/>
    <cellStyle name="Style 30" xfId="250" xr:uid="{735B6714-8B2F-4F55-A103-336B30A59FE8}"/>
    <cellStyle name="Style 30 2" xfId="134" xr:uid="{E8EE9EDD-1D08-4C00-9F1D-D545528C8160}"/>
    <cellStyle name="Style 31" xfId="182" xr:uid="{39F173AA-0C85-4812-AD2F-A9713354028A}"/>
    <cellStyle name="Style 31 2" xfId="223" xr:uid="{67093E3B-5F4D-4B7B-8BCF-31A162F79FC6}"/>
    <cellStyle name="Style 32" xfId="13" xr:uid="{8C3828D8-1540-4613-AE8E-2CD95CC09D03}"/>
    <cellStyle name="Style 32 2" xfId="158" xr:uid="{EED4ED91-C9AD-47AF-9472-3EADB20A5653}"/>
    <cellStyle name="Title" xfId="284" builtinId="15" customBuiltin="1"/>
    <cellStyle name="Title 2" xfId="252" xr:uid="{0A139BD8-2EDA-451F-A814-4897DE7313CF}"/>
    <cellStyle name="Title-1" xfId="130" xr:uid="{4BF21C1E-888D-4DBC-98AA-F508755A8DA0}"/>
    <cellStyle name="Title-2" xfId="82" xr:uid="{B9BA8FEB-3F99-4CBC-B2E7-73DF173C8416}"/>
    <cellStyle name="Titre ligne" xfId="266" xr:uid="{1D2B72CC-DF60-48EC-8B24-F5F07A0C2B8F}"/>
    <cellStyle name="Total 2" xfId="70" xr:uid="{6177B0B0-CB9C-41BE-9DD9-86807F37DC46}"/>
    <cellStyle name="Total 2 2" xfId="260" xr:uid="{F31FF038-3ADB-4443-83F6-F44C5ECF438D}"/>
    <cellStyle name="Total intermediaire" xfId="190" xr:uid="{7B31C699-249C-4508-AC51-017EB941467C}"/>
    <cellStyle name="Tusenskille [0]_rob4-mon.xls Diagram 1" xfId="161" xr:uid="{FB3FD574-5E0E-4725-863A-6DC6CECAF315}"/>
    <cellStyle name="Tusenskille_rob4-mon.xls Diagram 1" xfId="12" xr:uid="{EA2C1404-3EC2-4DF1-AC9B-6B8FF62748BC}"/>
    <cellStyle name="Valuta [0]_rob4-mon.xls Diagram 1" xfId="109" xr:uid="{6D4702E3-2AA7-4FB0-B63E-66A9F22301F1}"/>
    <cellStyle name="Valuta_rob4-mon.xls Diagram 1" xfId="97" xr:uid="{3D83078B-0750-403D-A64A-9B67F56E11AA}"/>
    <cellStyle name="Währung [0]_Excel2" xfId="60" xr:uid="{B0D94CF3-3411-4679-B20C-18495A266697}"/>
    <cellStyle name="Währung_Excel2" xfId="194" xr:uid="{F82980B8-B593-44D1-9338-0C0A2EE311F7}"/>
    <cellStyle name="Warning Text 2" xfId="169" xr:uid="{706F8FB5-64F2-41D3-A6E1-AB69EF9FF3A7}"/>
    <cellStyle name="Warning Text 3" xfId="328" xr:uid="{15A75E94-8207-4A7E-AA1C-559FFFFCB306}"/>
    <cellStyle name="Year" xfId="76" xr:uid="{309E8546-D965-4CB4-8FE6-F11DBAE1C607}"/>
    <cellStyle name="Обычный_2++_CRFReport-template" xfId="147" xr:uid="{2242B36D-C11B-4FA7-AB20-E17F1BC08D75}"/>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FDB00"/>
      <color rgb="FF43682B"/>
      <color rgb="FF007078"/>
      <color rgb="FF253746"/>
      <color rgb="FF00C18B"/>
      <color rgb="FF997300"/>
      <color rgb="FF9E480E"/>
      <color rgb="FF327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tables'!$D$26:$D$29</c:f>
              <c:strCache>
                <c:ptCount val="4"/>
                <c:pt idx="0">
                  <c:v>Natural Gas</c:v>
                </c:pt>
                <c:pt idx="1">
                  <c:v>Burning Oil - Kerosene</c:v>
                </c:pt>
                <c:pt idx="2">
                  <c:v>Gas Oil</c:v>
                </c:pt>
                <c:pt idx="3">
                  <c:v>Wood Pellets</c:v>
                </c:pt>
              </c:strCache>
            </c:strRef>
          </c:cat>
          <c:val>
            <c:numRef>
              <c:f>'Summary tables'!$E$26:$E$29</c:f>
              <c:numCache>
                <c:formatCode>#,##0.00</c:formatCode>
                <c:ptCount val="4"/>
                <c:pt idx="0">
                  <c:v>4001.6948400642232</c:v>
                </c:pt>
                <c:pt idx="1">
                  <c:v>0</c:v>
                </c:pt>
                <c:pt idx="2">
                  <c:v>0</c:v>
                </c:pt>
                <c:pt idx="3">
                  <c:v>0</c:v>
                </c:pt>
              </c:numCache>
            </c:numRef>
          </c:val>
          <c:extLst>
            <c:ext xmlns:c16="http://schemas.microsoft.com/office/drawing/2014/chart" uri="{C3380CC4-5D6E-409C-BE32-E72D297353CC}">
              <c16:uniqueId val="{00000000-689B-40D8-916C-A13DD62B010C}"/>
            </c:ext>
          </c:extLst>
        </c:ser>
        <c:dLbls>
          <c:dLblPos val="outEnd"/>
          <c:showLegendKey val="0"/>
          <c:showVal val="1"/>
          <c:showCatName val="0"/>
          <c:showSerName val="0"/>
          <c:showPercent val="0"/>
          <c:showBubbleSize val="0"/>
        </c:dLbls>
        <c:gapWidth val="219"/>
        <c:overlap val="-27"/>
        <c:axId val="778001976"/>
        <c:axId val="778000008"/>
      </c:barChart>
      <c:catAx>
        <c:axId val="77800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000008"/>
        <c:crosses val="autoZero"/>
        <c:auto val="1"/>
        <c:lblAlgn val="ctr"/>
        <c:lblOffset val="100"/>
        <c:noMultiLvlLbl val="0"/>
      </c:catAx>
      <c:valAx>
        <c:axId val="778000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Emissions (tCO2e)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001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tables'!$D$150:$D$153</c:f>
              <c:strCache>
                <c:ptCount val="4"/>
                <c:pt idx="0">
                  <c:v>Natural Gas</c:v>
                </c:pt>
                <c:pt idx="1">
                  <c:v>Burning Oil - Kerosene</c:v>
                </c:pt>
                <c:pt idx="2">
                  <c:v>Gas Oil</c:v>
                </c:pt>
                <c:pt idx="3">
                  <c:v>Wood Pellets</c:v>
                </c:pt>
              </c:strCache>
            </c:strRef>
          </c:cat>
          <c:val>
            <c:numRef>
              <c:f>'Summary tables'!$E$150:$E$153</c:f>
              <c:numCache>
                <c:formatCode>#,##0.00</c:formatCode>
                <c:ptCount val="4"/>
                <c:pt idx="0">
                  <c:v>2077.6651829895</c:v>
                </c:pt>
                <c:pt idx="1">
                  <c:v>0</c:v>
                </c:pt>
                <c:pt idx="2">
                  <c:v>0</c:v>
                </c:pt>
                <c:pt idx="3">
                  <c:v>0</c:v>
                </c:pt>
              </c:numCache>
            </c:numRef>
          </c:val>
          <c:extLst>
            <c:ext xmlns:c16="http://schemas.microsoft.com/office/drawing/2014/chart" uri="{C3380CC4-5D6E-409C-BE32-E72D297353CC}">
              <c16:uniqueId val="{00000000-049A-4329-9234-6A26DEDA1CE9}"/>
            </c:ext>
          </c:extLst>
        </c:ser>
        <c:dLbls>
          <c:dLblPos val="outEnd"/>
          <c:showLegendKey val="0"/>
          <c:showVal val="1"/>
          <c:showCatName val="0"/>
          <c:showSerName val="0"/>
          <c:showPercent val="0"/>
          <c:showBubbleSize val="0"/>
        </c:dLbls>
        <c:gapWidth val="219"/>
        <c:overlap val="-27"/>
        <c:axId val="778001976"/>
        <c:axId val="778000008"/>
      </c:barChart>
      <c:catAx>
        <c:axId val="77800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000008"/>
        <c:crosses val="autoZero"/>
        <c:auto val="1"/>
        <c:lblAlgn val="ctr"/>
        <c:lblOffset val="100"/>
        <c:noMultiLvlLbl val="0"/>
      </c:catAx>
      <c:valAx>
        <c:axId val="778000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Emissions (tCO2e)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001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tables'!$D$154:$D$157</c:f>
              <c:strCache>
                <c:ptCount val="4"/>
                <c:pt idx="0">
                  <c:v>HFC-32</c:v>
                </c:pt>
                <c:pt idx="1">
                  <c:v>R410A</c:v>
                </c:pt>
                <c:pt idx="2">
                  <c:v>HCFC-22/R22</c:v>
                </c:pt>
                <c:pt idx="3">
                  <c:v>Other Fugitive Emissions</c:v>
                </c:pt>
              </c:strCache>
            </c:strRef>
          </c:cat>
          <c:val>
            <c:numRef>
              <c:f>'Summary tables'!$E$154:$E$157</c:f>
              <c:numCache>
                <c:formatCode>#,##0.00</c:formatCode>
                <c:ptCount val="4"/>
                <c:pt idx="0">
                  <c:v>0</c:v>
                </c:pt>
                <c:pt idx="1">
                  <c:v>0</c:v>
                </c:pt>
                <c:pt idx="2">
                  <c:v>0</c:v>
                </c:pt>
                <c:pt idx="3">
                  <c:v>0</c:v>
                </c:pt>
              </c:numCache>
            </c:numRef>
          </c:val>
          <c:extLst>
            <c:ext xmlns:c16="http://schemas.microsoft.com/office/drawing/2014/chart" uri="{C3380CC4-5D6E-409C-BE32-E72D297353CC}">
              <c16:uniqueId val="{00000000-31E3-4CBA-98DC-A51A80B0CBCF}"/>
            </c:ext>
          </c:extLst>
        </c:ser>
        <c:dLbls>
          <c:dLblPos val="outEnd"/>
          <c:showLegendKey val="0"/>
          <c:showVal val="1"/>
          <c:showCatName val="0"/>
          <c:showSerName val="0"/>
          <c:showPercent val="0"/>
          <c:showBubbleSize val="0"/>
        </c:dLbls>
        <c:gapWidth val="219"/>
        <c:overlap val="-27"/>
        <c:axId val="778001976"/>
        <c:axId val="778000008"/>
      </c:barChart>
      <c:catAx>
        <c:axId val="77800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8000008"/>
        <c:crosses val="autoZero"/>
        <c:auto val="1"/>
        <c:lblAlgn val="ctr"/>
        <c:lblOffset val="100"/>
        <c:noMultiLvlLbl val="0"/>
      </c:catAx>
      <c:valAx>
        <c:axId val="778000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8001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tables'!$D$159:$D$184</c:f>
              <c:strCache>
                <c:ptCount val="26"/>
                <c:pt idx="0">
                  <c:v>Medium diesel car, 1.7 - 2.0 litre</c:v>
                </c:pt>
                <c:pt idx="1">
                  <c:v>Large Diesel Car &gt; 2.0 litre</c:v>
                </c:pt>
                <c:pt idx="2">
                  <c:v>MPV - Diesel</c:v>
                </c:pt>
                <c:pt idx="3">
                  <c:v>Diesel van Class I (up to 1.305 tonnes)</c:v>
                </c:pt>
                <c:pt idx="4">
                  <c:v>Diesel van Class II (1.305 to 1.74 tonnes)</c:v>
                </c:pt>
                <c:pt idx="5">
                  <c:v>Diesel van Class III (1.74 to 3.5 tonnes)</c:v>
                </c:pt>
                <c:pt idx="6">
                  <c:v>Diesel 4x4</c:v>
                </c:pt>
                <c:pt idx="7">
                  <c:v>Minibus - Diesel</c:v>
                </c:pt>
                <c:pt idx="8">
                  <c:v>Small Petrol Cars  ≤ 1.4 litre</c:v>
                </c:pt>
                <c:pt idx="9">
                  <c:v>Medium Petrol Car 1.4 - 2.0 litre</c:v>
                </c:pt>
                <c:pt idx="10">
                  <c:v>Large Petrol Car &gt; 2.0 litre</c:v>
                </c:pt>
                <c:pt idx="11">
                  <c:v>Small Hybrid Car - Petrol</c:v>
                </c:pt>
                <c:pt idx="12">
                  <c:v>Medium Hybrid Car - Petrol</c:v>
                </c:pt>
                <c:pt idx="13">
                  <c:v>Large Hybrid Car - Petrol</c:v>
                </c:pt>
                <c:pt idx="14">
                  <c:v>Electric Vehicle (Average Sized Car)</c:v>
                </c:pt>
                <c:pt idx="15">
                  <c:v>Average Medium Car (Unknown Fuel)</c:v>
                </c:pt>
                <c:pt idx="16">
                  <c:v>Rigid HGV (&gt;3.5 - 7.5 tonnes)</c:v>
                </c:pt>
                <c:pt idx="17">
                  <c:v>Rigid HGV (&gt;7.5 tonnes-17 tonnes)</c:v>
                </c:pt>
                <c:pt idx="18">
                  <c:v>Rigid HGV (&gt;17 tonnes)</c:v>
                </c:pt>
                <c:pt idx="19">
                  <c:v>All Rigid HGVs</c:v>
                </c:pt>
                <c:pt idx="20">
                  <c:v>Articulated HGV (&gt;3.5 - 33t)</c:v>
                </c:pt>
                <c:pt idx="21">
                  <c:v>Articulated HGV (&gt;33t)</c:v>
                </c:pt>
                <c:pt idx="22">
                  <c:v>All Articulated HGVs</c:v>
                </c:pt>
                <c:pt idx="23">
                  <c:v>All HGVs</c:v>
                </c:pt>
                <c:pt idx="24">
                  <c:v>Other Vehicles - Diesel</c:v>
                </c:pt>
                <c:pt idx="25">
                  <c:v>Other Vehicles - Petrol</c:v>
                </c:pt>
              </c:strCache>
            </c:strRef>
          </c:cat>
          <c:val>
            <c:numRef>
              <c:f>'Summary tables'!$E$159:$E$184</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654.15445811999996</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474B-4535-8EC8-E511C01BDBF1}"/>
            </c:ext>
          </c:extLst>
        </c:ser>
        <c:dLbls>
          <c:dLblPos val="outEnd"/>
          <c:showLegendKey val="0"/>
          <c:showVal val="1"/>
          <c:showCatName val="0"/>
          <c:showSerName val="0"/>
          <c:showPercent val="0"/>
          <c:showBubbleSize val="0"/>
        </c:dLbls>
        <c:gapWidth val="182"/>
        <c:axId val="470751640"/>
        <c:axId val="470753936"/>
      </c:barChart>
      <c:catAx>
        <c:axId val="470751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0753936"/>
        <c:crosses val="autoZero"/>
        <c:auto val="1"/>
        <c:lblAlgn val="ctr"/>
        <c:lblOffset val="100"/>
        <c:noMultiLvlLbl val="0"/>
      </c:catAx>
      <c:valAx>
        <c:axId val="4707539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0751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tables'!$D$185</c:f>
              <c:strCache>
                <c:ptCount val="1"/>
                <c:pt idx="0">
                  <c:v>Building Use </c:v>
                </c:pt>
              </c:strCache>
            </c:strRef>
          </c:cat>
          <c:val>
            <c:numRef>
              <c:f>'Summary tables'!$E$185</c:f>
              <c:numCache>
                <c:formatCode>#,##0.00</c:formatCode>
                <c:ptCount val="1"/>
                <c:pt idx="0">
                  <c:v>1336.7896869599997</c:v>
                </c:pt>
              </c:numCache>
            </c:numRef>
          </c:val>
          <c:extLst>
            <c:ext xmlns:c16="http://schemas.microsoft.com/office/drawing/2014/chart" uri="{C3380CC4-5D6E-409C-BE32-E72D297353CC}">
              <c16:uniqueId val="{00000000-A6B9-4743-A0CD-1056CFB73E36}"/>
            </c:ext>
          </c:extLst>
        </c:ser>
        <c:dLbls>
          <c:dLblPos val="outEnd"/>
          <c:showLegendKey val="0"/>
          <c:showVal val="1"/>
          <c:showCatName val="0"/>
          <c:showSerName val="0"/>
          <c:showPercent val="0"/>
          <c:showBubbleSize val="0"/>
        </c:dLbls>
        <c:gapWidth val="219"/>
        <c:overlap val="-27"/>
        <c:axId val="462715800"/>
        <c:axId val="462716128"/>
      </c:barChart>
      <c:catAx>
        <c:axId val="46271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16128"/>
        <c:crosses val="autoZero"/>
        <c:auto val="1"/>
        <c:lblAlgn val="ctr"/>
        <c:lblOffset val="100"/>
        <c:noMultiLvlLbl val="0"/>
      </c:catAx>
      <c:valAx>
        <c:axId val="46271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Emissions (tCO2e)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15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tables'!$D$186:$D$198</c:f>
              <c:strCache>
                <c:ptCount val="13"/>
                <c:pt idx="0">
                  <c:v>Small Petrol Motorbike (Mopeds/Scooters up to 125cc)</c:v>
                </c:pt>
                <c:pt idx="1">
                  <c:v>Medium Petrol Motorbike (125-500cc)</c:v>
                </c:pt>
                <c:pt idx="2">
                  <c:v>Average Medium Car (unknown fuel)</c:v>
                </c:pt>
                <c:pt idx="3">
                  <c:v>Small Petrol Cars  ≤ 1.4 litre</c:v>
                </c:pt>
                <c:pt idx="4">
                  <c:v>Medium Petrol Car 1.4 - 2.0 litre</c:v>
                </c:pt>
                <c:pt idx="5">
                  <c:v>Large Petrol Car &gt; 2.0 litre</c:v>
                </c:pt>
                <c:pt idx="6">
                  <c:v>Small Diesel Car ≤ 1.7 litre</c:v>
                </c:pt>
                <c:pt idx="7">
                  <c:v>Medium Diesel Car 1.7 - 2.0 litre</c:v>
                </c:pt>
                <c:pt idx="8">
                  <c:v>Large Diesel Car &gt; 2.0 litre</c:v>
                </c:pt>
                <c:pt idx="9">
                  <c:v>Small Hybrid Car - Petrol</c:v>
                </c:pt>
                <c:pt idx="10">
                  <c:v>Medium Hybrid Car - Petrol</c:v>
                </c:pt>
                <c:pt idx="11">
                  <c:v>Large Hybrid Car - Petrol</c:v>
                </c:pt>
                <c:pt idx="12">
                  <c:v>Electric Vehicle (Average Sized Car)</c:v>
                </c:pt>
              </c:strCache>
            </c:strRef>
          </c:cat>
          <c:val>
            <c:numRef>
              <c:f>'Summary tables'!$E$186:$E$198</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E39-4766-B070-6083F9B8EF21}"/>
            </c:ext>
          </c:extLst>
        </c:ser>
        <c:dLbls>
          <c:dLblPos val="outEnd"/>
          <c:showLegendKey val="0"/>
          <c:showVal val="1"/>
          <c:showCatName val="0"/>
          <c:showSerName val="0"/>
          <c:showPercent val="0"/>
          <c:showBubbleSize val="0"/>
        </c:dLbls>
        <c:gapWidth val="182"/>
        <c:axId val="777609552"/>
        <c:axId val="777603320"/>
      </c:barChart>
      <c:catAx>
        <c:axId val="777609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7603320"/>
        <c:crosses val="autoZero"/>
        <c:auto val="1"/>
        <c:lblAlgn val="ctr"/>
        <c:lblOffset val="100"/>
        <c:noMultiLvlLbl val="0"/>
      </c:catAx>
      <c:valAx>
        <c:axId val="777603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7609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tables'!$D$69:$D$70</c:f>
              <c:strCache>
                <c:ptCount val="2"/>
                <c:pt idx="0">
                  <c:v>Building Use </c:v>
                </c:pt>
                <c:pt idx="1">
                  <c:v>Streetlighting</c:v>
                </c:pt>
              </c:strCache>
            </c:strRef>
          </c:cat>
          <c:val>
            <c:numRef>
              <c:f>'Summary tables'!$E$69:$E$70</c:f>
              <c:numCache>
                <c:formatCode>#,##0.00</c:formatCode>
                <c:ptCount val="2"/>
                <c:pt idx="0">
                  <c:v>6841.9989032929207</c:v>
                </c:pt>
                <c:pt idx="1">
                  <c:v>861.11419672799991</c:v>
                </c:pt>
              </c:numCache>
            </c:numRef>
          </c:val>
          <c:extLst>
            <c:ext xmlns:c16="http://schemas.microsoft.com/office/drawing/2014/chart" uri="{C3380CC4-5D6E-409C-BE32-E72D297353CC}">
              <c16:uniqueId val="{00000000-A80E-41BB-820D-35F4255AC8E5}"/>
            </c:ext>
          </c:extLst>
        </c:ser>
        <c:dLbls>
          <c:dLblPos val="outEnd"/>
          <c:showLegendKey val="0"/>
          <c:showVal val="1"/>
          <c:showCatName val="0"/>
          <c:showSerName val="0"/>
          <c:showPercent val="0"/>
          <c:showBubbleSize val="0"/>
        </c:dLbls>
        <c:gapWidth val="219"/>
        <c:overlap val="-27"/>
        <c:axId val="462715800"/>
        <c:axId val="462716128"/>
      </c:barChart>
      <c:catAx>
        <c:axId val="46271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16128"/>
        <c:crosses val="autoZero"/>
        <c:auto val="1"/>
        <c:lblAlgn val="ctr"/>
        <c:lblOffset val="100"/>
        <c:noMultiLvlLbl val="0"/>
      </c:catAx>
      <c:valAx>
        <c:axId val="462716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Emissions (tCO2e)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15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tables'!$D$96:$D$122</c:f>
              <c:strCache>
                <c:ptCount val="27"/>
                <c:pt idx="0">
                  <c:v>Small diesel car ≤ 1.7 litre</c:v>
                </c:pt>
                <c:pt idx="1">
                  <c:v>Medium diesel car, 1.7 - 2.0 litre</c:v>
                </c:pt>
                <c:pt idx="2">
                  <c:v>Large Diesel Car &gt; 2.0 litre</c:v>
                </c:pt>
                <c:pt idx="3">
                  <c:v>MPV - Diesel</c:v>
                </c:pt>
                <c:pt idx="4">
                  <c:v>Diesel van Class I (up to 1.305 tonnes)</c:v>
                </c:pt>
                <c:pt idx="5">
                  <c:v>Diesel van Class II (1.305 to 1.74 tonnes)</c:v>
                </c:pt>
                <c:pt idx="6">
                  <c:v>Diesel van Class III (1.74 to 3.5 tonnes)</c:v>
                </c:pt>
                <c:pt idx="7">
                  <c:v>Diesel 4x4</c:v>
                </c:pt>
                <c:pt idx="8">
                  <c:v>Minibus - Diesel</c:v>
                </c:pt>
                <c:pt idx="9">
                  <c:v>Small Petrol Cars  ≤ 1.4 litre</c:v>
                </c:pt>
                <c:pt idx="10">
                  <c:v>Medium Petrol Car 1.4 - 2.0 litre</c:v>
                </c:pt>
                <c:pt idx="11">
                  <c:v>Large Petrol Car &gt; 2.0 litre</c:v>
                </c:pt>
                <c:pt idx="12">
                  <c:v>Small Hybrid Car - Petrol</c:v>
                </c:pt>
                <c:pt idx="13">
                  <c:v>Medium Hybrid Car - Petrol</c:v>
                </c:pt>
                <c:pt idx="14">
                  <c:v>Large Hybrid Car - Petrol</c:v>
                </c:pt>
                <c:pt idx="15">
                  <c:v>Electric Vehicle (Average Sized Car)</c:v>
                </c:pt>
                <c:pt idx="16">
                  <c:v>Average Medium Car (Unknown Fuel)</c:v>
                </c:pt>
                <c:pt idx="17">
                  <c:v>Rigid HGV (&gt;3.5 - 7.5 tonnes)</c:v>
                </c:pt>
                <c:pt idx="18">
                  <c:v>Rigid HGV (&gt;7.5 tonnes-17 tonnes)</c:v>
                </c:pt>
                <c:pt idx="19">
                  <c:v>Rigid HGV (&gt;17 tonnes)</c:v>
                </c:pt>
                <c:pt idx="20">
                  <c:v>All Rigid HGVs</c:v>
                </c:pt>
                <c:pt idx="21">
                  <c:v>Articulated HGV (&gt;3.5 - 33t)</c:v>
                </c:pt>
                <c:pt idx="22">
                  <c:v>Articulated HGV (&gt;33t)</c:v>
                </c:pt>
                <c:pt idx="23">
                  <c:v>All Articulated HGVs</c:v>
                </c:pt>
                <c:pt idx="24">
                  <c:v>All HGVs</c:v>
                </c:pt>
                <c:pt idx="25">
                  <c:v>Other Vehicles - Diesel</c:v>
                </c:pt>
                <c:pt idx="26">
                  <c:v>Other Vehicles - Petrol</c:v>
                </c:pt>
              </c:strCache>
            </c:strRef>
          </c:cat>
          <c:val>
            <c:numRef>
              <c:f>'Summary tables'!$E$96:$E$122</c:f>
              <c:numCache>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88E3-42C1-9834-3ECF3B564591}"/>
            </c:ext>
          </c:extLst>
        </c:ser>
        <c:dLbls>
          <c:dLblPos val="outEnd"/>
          <c:showLegendKey val="0"/>
          <c:showVal val="1"/>
          <c:showCatName val="0"/>
          <c:showSerName val="0"/>
          <c:showPercent val="0"/>
          <c:showBubbleSize val="0"/>
        </c:dLbls>
        <c:gapWidth val="182"/>
        <c:axId val="777609552"/>
        <c:axId val="777603320"/>
      </c:barChart>
      <c:catAx>
        <c:axId val="777609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7603320"/>
        <c:crosses val="autoZero"/>
        <c:auto val="1"/>
        <c:lblAlgn val="ctr"/>
        <c:lblOffset val="100"/>
        <c:noMultiLvlLbl val="0"/>
      </c:catAx>
      <c:valAx>
        <c:axId val="777603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7609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tables'!$D$42:$D$68</c:f>
              <c:strCache>
                <c:ptCount val="27"/>
                <c:pt idx="0">
                  <c:v>Small diesel car ≤ 1.7 litre</c:v>
                </c:pt>
                <c:pt idx="1">
                  <c:v>Medium diesel car, 1.7 - 2.0 litre</c:v>
                </c:pt>
                <c:pt idx="2">
                  <c:v>Large Diesel Car &gt; 2.0 litre</c:v>
                </c:pt>
                <c:pt idx="3">
                  <c:v>MPV - Diesel</c:v>
                </c:pt>
                <c:pt idx="4">
                  <c:v>Diesel van Class I (up to 1.305 tonnes)</c:v>
                </c:pt>
                <c:pt idx="5">
                  <c:v>Diesel van Class II (1.305 to 1.74 tonnes)</c:v>
                </c:pt>
                <c:pt idx="6">
                  <c:v>Diesel van Class III (1.74 to 3.5 tonnes)</c:v>
                </c:pt>
                <c:pt idx="7">
                  <c:v>Diesel 4x4</c:v>
                </c:pt>
                <c:pt idx="8">
                  <c:v>Minibus - Diesel</c:v>
                </c:pt>
                <c:pt idx="9">
                  <c:v>Small Petrol Cars  ≤ 1.4 litre</c:v>
                </c:pt>
                <c:pt idx="10">
                  <c:v>Medium Petrol Car 1.4 - 2.0 litre</c:v>
                </c:pt>
                <c:pt idx="11">
                  <c:v>Large Petrol Car &gt; 2.0 litre</c:v>
                </c:pt>
                <c:pt idx="12">
                  <c:v>Small Hybrid Car - Petrol</c:v>
                </c:pt>
                <c:pt idx="13">
                  <c:v>Medium Hybrid Car - Petrol</c:v>
                </c:pt>
                <c:pt idx="14">
                  <c:v>Large Hybrid Car - Petrol</c:v>
                </c:pt>
                <c:pt idx="15">
                  <c:v>Electric Vehicle (Average Sized Car)</c:v>
                </c:pt>
                <c:pt idx="16">
                  <c:v>Average Medium Car (Unknown Fuel)</c:v>
                </c:pt>
                <c:pt idx="17">
                  <c:v>Rigid HGV (&gt;3.5 - 7.5 tonnes)</c:v>
                </c:pt>
                <c:pt idx="18">
                  <c:v>Rigid HGV (&gt;7.5 tonnes-17 tonnes)</c:v>
                </c:pt>
                <c:pt idx="19">
                  <c:v>Rigid HGV (&gt;17 tonnes)</c:v>
                </c:pt>
                <c:pt idx="20">
                  <c:v>All Rigid HGVs</c:v>
                </c:pt>
                <c:pt idx="21">
                  <c:v>Articulated HGV (&gt;3.5 - 33t)</c:v>
                </c:pt>
                <c:pt idx="22">
                  <c:v>Articulated HGV (&gt;33t)</c:v>
                </c:pt>
                <c:pt idx="23">
                  <c:v>All Articulated HGVs</c:v>
                </c:pt>
                <c:pt idx="24">
                  <c:v>All HGVs</c:v>
                </c:pt>
                <c:pt idx="25">
                  <c:v>Other Vehicles - Diesel</c:v>
                </c:pt>
                <c:pt idx="26">
                  <c:v>Other Vehicles - Petrol</c:v>
                </c:pt>
              </c:strCache>
            </c:strRef>
          </c:cat>
          <c:val>
            <c:numRef>
              <c:f>'Summary tables'!$E$42:$E$68</c:f>
              <c:numCache>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196.26924713270003</c:v>
                </c:pt>
                <c:pt idx="26">
                  <c:v>73.597812516000005</c:v>
                </c:pt>
              </c:numCache>
            </c:numRef>
          </c:val>
          <c:extLst>
            <c:ext xmlns:c16="http://schemas.microsoft.com/office/drawing/2014/chart" uri="{C3380CC4-5D6E-409C-BE32-E72D297353CC}">
              <c16:uniqueId val="{00000000-EF23-4320-BD4F-A80EB37E6233}"/>
            </c:ext>
          </c:extLst>
        </c:ser>
        <c:dLbls>
          <c:dLblPos val="outEnd"/>
          <c:showLegendKey val="0"/>
          <c:showVal val="1"/>
          <c:showCatName val="0"/>
          <c:showSerName val="0"/>
          <c:showPercent val="0"/>
          <c:showBubbleSize val="0"/>
        </c:dLbls>
        <c:gapWidth val="182"/>
        <c:axId val="470751640"/>
        <c:axId val="470753936"/>
      </c:barChart>
      <c:catAx>
        <c:axId val="470751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0753936"/>
        <c:crosses val="autoZero"/>
        <c:auto val="1"/>
        <c:lblAlgn val="ctr"/>
        <c:lblOffset val="100"/>
        <c:noMultiLvlLbl val="0"/>
      </c:catAx>
      <c:valAx>
        <c:axId val="4707539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0751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'Summary tables'!$D$10</c:f>
              <c:strCache>
                <c:ptCount val="1"/>
                <c:pt idx="0">
                  <c:v>Emissions
(tCO2e)</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42F4-42AD-A9A4-9B0FCE7E60C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42F4-42AD-A9A4-9B0FCE7E60C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42F4-42AD-A9A4-9B0FCE7E60C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42F4-42AD-A9A4-9B0FCE7E60C3}"/>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42F4-42AD-A9A4-9B0FCE7E60C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42F4-42AD-A9A4-9B0FCE7E60C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42F4-42AD-A9A4-9B0FCE7E60C3}"/>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53EF-40F0-BAA9-AA8FBF96A232}"/>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C6DD-4FFE-A34D-F250C9C90BEF}"/>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6E54-4C98-8E3E-C4639CFBB88F}"/>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6E54-4C98-8E3E-C4639CFBB88F}"/>
              </c:ext>
            </c:extLst>
          </c:dPt>
          <c:dLbls>
            <c:dLbl>
              <c:idx val="0"/>
              <c:layout>
                <c:manualLayout>
                  <c:x val="3.0449826989619379E-2"/>
                  <c:y val="-0.1003184839157535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F4-42AD-A9A4-9B0FCE7E60C3}"/>
                </c:ext>
              </c:extLst>
            </c:dLbl>
            <c:dLbl>
              <c:idx val="2"/>
              <c:layout>
                <c:manualLayout>
                  <c:x val="0.11626297577854672"/>
                  <c:y val="-2.388535331327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2F4-42AD-A9A4-9B0FCE7E60C3}"/>
                </c:ext>
              </c:extLst>
            </c:dLbl>
            <c:dLbl>
              <c:idx val="3"/>
              <c:layout>
                <c:manualLayout>
                  <c:x val="2.7681660899653978E-3"/>
                  <c:y val="0.124203837229028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2F4-42AD-A9A4-9B0FCE7E60C3}"/>
                </c:ext>
              </c:extLst>
            </c:dLbl>
            <c:dLbl>
              <c:idx val="4"/>
              <c:layout>
                <c:manualLayout>
                  <c:x val="-0.10795847750865054"/>
                  <c:y val="-5.25477772892042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2F4-42AD-A9A4-9B0FCE7E60C3}"/>
                </c:ext>
              </c:extLst>
            </c:dLbl>
            <c:dLbl>
              <c:idx val="5"/>
              <c:layout>
                <c:manualLayout>
                  <c:x val="-8.3044982698961944E-3"/>
                  <c:y val="-0.105095554578408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2F4-42AD-A9A4-9B0FCE7E60C3}"/>
                </c:ext>
              </c:extLst>
            </c:dLbl>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 tables'!$C$11:$C$21</c:f>
              <c:strCache>
                <c:ptCount val="11"/>
                <c:pt idx="0">
                  <c:v>Heating</c:v>
                </c:pt>
                <c:pt idx="1">
                  <c:v>Fugitive Emissions</c:v>
                </c:pt>
                <c:pt idx="2">
                  <c:v>Authority's Fleet</c:v>
                </c:pt>
                <c:pt idx="3">
                  <c:v>Electricity</c:v>
                </c:pt>
                <c:pt idx="4">
                  <c:v>Staff Business Travel</c:v>
                </c:pt>
                <c:pt idx="5">
                  <c:v>Outsourced Fleet</c:v>
                </c:pt>
                <c:pt idx="6">
                  <c:v>Transmission &amp; Distribution Losses</c:v>
                </c:pt>
                <c:pt idx="7">
                  <c:v>Water</c:v>
                </c:pt>
                <c:pt idx="8">
                  <c:v>Material Use</c:v>
                </c:pt>
                <c:pt idx="9">
                  <c:v>Waste generated from own operations </c:v>
                </c:pt>
                <c:pt idx="10">
                  <c:v>Outsourced Scope 3</c:v>
                </c:pt>
              </c:strCache>
            </c:strRef>
          </c:cat>
          <c:val>
            <c:numRef>
              <c:f>'Summary tables'!$D$11:$D$21</c:f>
              <c:numCache>
                <c:formatCode>#,##0.00</c:formatCode>
                <c:ptCount val="11"/>
                <c:pt idx="0">
                  <c:v>4001.6948400642232</c:v>
                </c:pt>
                <c:pt idx="1">
                  <c:v>0</c:v>
                </c:pt>
                <c:pt idx="2">
                  <c:v>269.86705964870004</c:v>
                </c:pt>
                <c:pt idx="3">
                  <c:v>7715.2809091709205</c:v>
                </c:pt>
                <c:pt idx="4">
                  <c:v>0</c:v>
                </c:pt>
                <c:pt idx="5">
                  <c:v>0</c:v>
                </c:pt>
                <c:pt idx="6">
                  <c:v>653.98104174669004</c:v>
                </c:pt>
                <c:pt idx="7">
                  <c:v>118.16197859999998</c:v>
                </c:pt>
                <c:pt idx="8">
                  <c:v>0</c:v>
                </c:pt>
                <c:pt idx="9">
                  <c:v>0</c:v>
                </c:pt>
                <c:pt idx="10">
                  <c:v>4068.6093280694995</c:v>
                </c:pt>
              </c:numCache>
            </c:numRef>
          </c:val>
          <c:extLst>
            <c:ext xmlns:c16="http://schemas.microsoft.com/office/drawing/2014/chart" uri="{C3380CC4-5D6E-409C-BE32-E72D297353CC}">
              <c16:uniqueId val="{0000000E-42F4-42AD-A9A4-9B0FCE7E60C3}"/>
            </c:ext>
          </c:extLst>
        </c:ser>
        <c:dLbls>
          <c:showLegendKey val="0"/>
          <c:showVal val="0"/>
          <c:showCatName val="0"/>
          <c:showSerName val="0"/>
          <c:showPercent val="1"/>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extLst>
              <c:ext xmlns:c16="http://schemas.microsoft.com/office/drawing/2014/chart" uri="{C3380CC4-5D6E-409C-BE32-E72D297353CC}">
                <c16:uniqueId val="{00000000-EBC6-4260-B0DA-5B2F1465C971}"/>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tables'!$D$123:$D$124</c:f>
              <c:strCache>
                <c:ptCount val="2"/>
                <c:pt idx="0">
                  <c:v>T&amp;D Losses - Scope 2 Electricity</c:v>
                </c:pt>
                <c:pt idx="1">
                  <c:v>T&amp;D Losses - EV</c:v>
                </c:pt>
              </c:strCache>
            </c:strRef>
          </c:cat>
          <c:val>
            <c:numRef>
              <c:f>'Summary tables'!$E$123:$E$124</c:f>
              <c:numCache>
                <c:formatCode>#,##0.00</c:formatCode>
                <c:ptCount val="2"/>
                <c:pt idx="0">
                  <c:v>653.98104174669004</c:v>
                </c:pt>
                <c:pt idx="1">
                  <c:v>0</c:v>
                </c:pt>
              </c:numCache>
            </c:numRef>
          </c:val>
          <c:extLst>
            <c:ext xmlns:c16="http://schemas.microsoft.com/office/drawing/2014/chart" uri="{C3380CC4-5D6E-409C-BE32-E72D297353CC}">
              <c16:uniqueId val="{00000001-EBC6-4260-B0DA-5B2F1465C971}"/>
            </c:ext>
          </c:extLst>
        </c:ser>
        <c:dLbls>
          <c:dLblPos val="outEnd"/>
          <c:showLegendKey val="0"/>
          <c:showVal val="1"/>
          <c:showCatName val="0"/>
          <c:showSerName val="0"/>
          <c:showPercent val="0"/>
          <c:showBubbleSize val="0"/>
        </c:dLbls>
        <c:gapWidth val="219"/>
        <c:overlap val="-27"/>
        <c:axId val="778006240"/>
        <c:axId val="778003616"/>
      </c:barChart>
      <c:catAx>
        <c:axId val="77800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8003616"/>
        <c:crosses val="autoZero"/>
        <c:auto val="1"/>
        <c:lblAlgn val="ctr"/>
        <c:lblOffset val="100"/>
        <c:noMultiLvlLbl val="0"/>
      </c:catAx>
      <c:valAx>
        <c:axId val="77800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8006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tables'!$D$125:$D$126</c:f>
              <c:strCache>
                <c:ptCount val="2"/>
                <c:pt idx="0">
                  <c:v>Water Supply</c:v>
                </c:pt>
                <c:pt idx="1">
                  <c:v>Water Treatment</c:v>
                </c:pt>
              </c:strCache>
            </c:strRef>
          </c:cat>
          <c:val>
            <c:numRef>
              <c:f>'Summary tables'!$E$125:$E$126</c:f>
              <c:numCache>
                <c:formatCode>#,##0.00</c:formatCode>
                <c:ptCount val="2"/>
                <c:pt idx="0">
                  <c:v>40.855847999999995</c:v>
                </c:pt>
                <c:pt idx="1">
                  <c:v>77.306130599999989</c:v>
                </c:pt>
              </c:numCache>
            </c:numRef>
          </c:val>
          <c:extLst>
            <c:ext xmlns:c16="http://schemas.microsoft.com/office/drawing/2014/chart" uri="{C3380CC4-5D6E-409C-BE32-E72D297353CC}">
              <c16:uniqueId val="{00000000-209F-4346-8155-616B7FBC1998}"/>
            </c:ext>
          </c:extLst>
        </c:ser>
        <c:dLbls>
          <c:dLblPos val="outEnd"/>
          <c:showLegendKey val="0"/>
          <c:showVal val="1"/>
          <c:showCatName val="0"/>
          <c:showSerName val="0"/>
          <c:showPercent val="0"/>
          <c:showBubbleSize val="0"/>
        </c:dLbls>
        <c:gapWidth val="219"/>
        <c:overlap val="-27"/>
        <c:axId val="462701040"/>
        <c:axId val="462703008"/>
      </c:barChart>
      <c:catAx>
        <c:axId val="46270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03008"/>
        <c:crosses val="autoZero"/>
        <c:auto val="1"/>
        <c:lblAlgn val="ctr"/>
        <c:lblOffset val="100"/>
        <c:noMultiLvlLbl val="0"/>
      </c:catAx>
      <c:valAx>
        <c:axId val="462703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Emissions (tCO2e)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01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tables'!$E$25</c:f>
              <c:strCache>
                <c:ptCount val="1"/>
                <c:pt idx="0">
                  <c:v>Emissions
(tCO2e)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tables'!$D$34:$D$41</c:f>
              <c:strCache>
                <c:ptCount val="8"/>
                <c:pt idx="0">
                  <c:v>HFC-32</c:v>
                </c:pt>
                <c:pt idx="1">
                  <c:v>R410A</c:v>
                </c:pt>
                <c:pt idx="2">
                  <c:v>HCFC-22/R22</c:v>
                </c:pt>
                <c:pt idx="3">
                  <c:v>Other Please Specify</c:v>
                </c:pt>
                <c:pt idx="4">
                  <c:v>Other Please Specify</c:v>
                </c:pt>
                <c:pt idx="5">
                  <c:v>Other Please Specify</c:v>
                </c:pt>
                <c:pt idx="6">
                  <c:v>Other Please Specify</c:v>
                </c:pt>
                <c:pt idx="7">
                  <c:v>Other Please Specify</c:v>
                </c:pt>
              </c:strCache>
            </c:strRef>
          </c:cat>
          <c:val>
            <c:numRef>
              <c:f>'Summary tables'!$E$34:$E$41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BD9-4B4C-9C19-104289536E0D}"/>
            </c:ext>
          </c:extLst>
        </c:ser>
        <c:dLbls>
          <c:dLblPos val="outEnd"/>
          <c:showLegendKey val="0"/>
          <c:showVal val="1"/>
          <c:showCatName val="0"/>
          <c:showSerName val="0"/>
          <c:showPercent val="0"/>
          <c:showBubbleSize val="0"/>
        </c:dLbls>
        <c:gapWidth val="219"/>
        <c:overlap val="-27"/>
        <c:axId val="778001976"/>
        <c:axId val="778000008"/>
      </c:barChart>
      <c:catAx>
        <c:axId val="77800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8000008"/>
        <c:crosses val="autoZero"/>
        <c:auto val="1"/>
        <c:lblAlgn val="ctr"/>
        <c:lblOffset val="100"/>
        <c:noMultiLvlLbl val="0"/>
      </c:catAx>
      <c:valAx>
        <c:axId val="778000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8001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tables'!$D$83:$D$95</c:f>
              <c:strCache>
                <c:ptCount val="13"/>
                <c:pt idx="0">
                  <c:v>Small Petrol Motorbike (Mopeds/Scooters up to 125cc)</c:v>
                </c:pt>
                <c:pt idx="1">
                  <c:v>Medium Petrol Motorbike (125-500cc)</c:v>
                </c:pt>
                <c:pt idx="2">
                  <c:v>Average Medium Car (unknown fuel)</c:v>
                </c:pt>
                <c:pt idx="3">
                  <c:v>Small Petrol Cars  ≤ 1.4 litre</c:v>
                </c:pt>
                <c:pt idx="4">
                  <c:v>Medium Petrol Car 1.4 - 2.0 litre</c:v>
                </c:pt>
                <c:pt idx="5">
                  <c:v>Large Petrol Car &gt; 2.0 litre</c:v>
                </c:pt>
                <c:pt idx="6">
                  <c:v>Small Diesel Car ≤ 1.7 litre</c:v>
                </c:pt>
                <c:pt idx="7">
                  <c:v>Medium Diesel Car 1.7 - 2.0 litre</c:v>
                </c:pt>
                <c:pt idx="8">
                  <c:v>Large Diesel Car &gt; 2.0 litre</c:v>
                </c:pt>
                <c:pt idx="9">
                  <c:v>Small Hybrid Car - Petrol</c:v>
                </c:pt>
                <c:pt idx="10">
                  <c:v>Medium Hybrid Car - Petrol</c:v>
                </c:pt>
                <c:pt idx="11">
                  <c:v>Large Hybrid Car - Petrol</c:v>
                </c:pt>
                <c:pt idx="12">
                  <c:v>Electric Vehicle (Average Sized Car)</c:v>
                </c:pt>
              </c:strCache>
            </c:strRef>
          </c:cat>
          <c:val>
            <c:numRef>
              <c:f>'Summary tables'!$E$83:$E$95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3334-431F-8508-256C67CB1F80}"/>
            </c:ext>
          </c:extLst>
        </c:ser>
        <c:dLbls>
          <c:dLblPos val="outEnd"/>
          <c:showLegendKey val="0"/>
          <c:showVal val="1"/>
          <c:showCatName val="0"/>
          <c:showSerName val="0"/>
          <c:showPercent val="0"/>
          <c:showBubbleSize val="0"/>
        </c:dLbls>
        <c:gapWidth val="182"/>
        <c:axId val="777609552"/>
        <c:axId val="777603320"/>
      </c:barChart>
      <c:catAx>
        <c:axId val="777609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7603320"/>
        <c:crosses val="autoZero"/>
        <c:auto val="1"/>
        <c:lblAlgn val="ctr"/>
        <c:lblOffset val="100"/>
        <c:noMultiLvlLbl val="0"/>
      </c:catAx>
      <c:valAx>
        <c:axId val="777603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Emissions (tCO2e)</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7609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3" Type="http://schemas.openxmlformats.org/officeDocument/2006/relationships/chart" Target="../charts/chart3.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chart" Target="../charts/chart2.xml"/><Relationship Id="rId16" Type="http://schemas.openxmlformats.org/officeDocument/2006/relationships/chart" Target="../charts/chart14.xml"/><Relationship Id="rId1" Type="http://schemas.openxmlformats.org/officeDocument/2006/relationships/chart" Target="../charts/chart1.xml"/><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image" Target="../media/image2.png"/><Relationship Id="rId15" Type="http://schemas.openxmlformats.org/officeDocument/2006/relationships/chart" Target="../charts/chart13.xml"/><Relationship Id="rId10" Type="http://schemas.openxmlformats.org/officeDocument/2006/relationships/chart" Target="../charts/chart8.xml"/><Relationship Id="rId4" Type="http://schemas.openxmlformats.org/officeDocument/2006/relationships/image" Target="../media/image1.png"/><Relationship Id="rId9" Type="http://schemas.openxmlformats.org/officeDocument/2006/relationships/chart" Target="../charts/chart7.xml"/><Relationship Id="rId1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561346</xdr:colOff>
      <xdr:row>1</xdr:row>
      <xdr:rowOff>111728</xdr:rowOff>
    </xdr:from>
    <xdr:to>
      <xdr:col>2</xdr:col>
      <xdr:colOff>1738316</xdr:colOff>
      <xdr:row>5</xdr:row>
      <xdr:rowOff>128874</xdr:rowOff>
    </xdr:to>
    <xdr:pic>
      <xdr:nvPicPr>
        <xdr:cNvPr id="2" name="Picture 1">
          <a:extLst>
            <a:ext uri="{FF2B5EF4-FFF2-40B4-BE49-F238E27FC236}">
              <a16:creationId xmlns:a16="http://schemas.microsoft.com/office/drawing/2014/main" id="{83269531-0F13-455D-84FE-0E61E7BC7F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9534" y="286353"/>
          <a:ext cx="1174430" cy="723628"/>
        </a:xfrm>
        <a:prstGeom prst="rect">
          <a:avLst/>
        </a:prstGeom>
      </xdr:spPr>
    </xdr:pic>
    <xdr:clientData/>
  </xdr:twoCellAnchor>
  <xdr:twoCellAnchor editAs="oneCell">
    <xdr:from>
      <xdr:col>0</xdr:col>
      <xdr:colOff>270782</xdr:colOff>
      <xdr:row>1</xdr:row>
      <xdr:rowOff>107496</xdr:rowOff>
    </xdr:from>
    <xdr:to>
      <xdr:col>1</xdr:col>
      <xdr:colOff>1624342</xdr:colOff>
      <xdr:row>5</xdr:row>
      <xdr:rowOff>136978</xdr:rowOff>
    </xdr:to>
    <xdr:pic>
      <xdr:nvPicPr>
        <xdr:cNvPr id="4" name="Picture 3">
          <a:extLst>
            <a:ext uri="{FF2B5EF4-FFF2-40B4-BE49-F238E27FC236}">
              <a16:creationId xmlns:a16="http://schemas.microsoft.com/office/drawing/2014/main" id="{40A0EC18-F9A7-4953-8BD8-8C33E72FA4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782" y="282121"/>
          <a:ext cx="2025708"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668161</xdr:colOff>
      <xdr:row>1</xdr:row>
      <xdr:rowOff>54655</xdr:rowOff>
    </xdr:from>
    <xdr:to>
      <xdr:col>5</xdr:col>
      <xdr:colOff>531931</xdr:colOff>
      <xdr:row>5</xdr:row>
      <xdr:rowOff>76155</xdr:rowOff>
    </xdr:to>
    <xdr:pic>
      <xdr:nvPicPr>
        <xdr:cNvPr id="5" name="Picture 4">
          <a:extLst>
            <a:ext uri="{FF2B5EF4-FFF2-40B4-BE49-F238E27FC236}">
              <a16:creationId xmlns:a16="http://schemas.microsoft.com/office/drawing/2014/main" id="{86F916D3-649E-4AAC-869D-D7BBD78AE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2224" y="229280"/>
          <a:ext cx="1213145" cy="720000"/>
        </a:xfrm>
        <a:prstGeom prst="rect">
          <a:avLst/>
        </a:prstGeom>
      </xdr:spPr>
    </xdr:pic>
    <xdr:clientData/>
  </xdr:twoCellAnchor>
  <xdr:twoCellAnchor editAs="oneCell">
    <xdr:from>
      <xdr:col>0</xdr:col>
      <xdr:colOff>325664</xdr:colOff>
      <xdr:row>1</xdr:row>
      <xdr:rowOff>69106</xdr:rowOff>
    </xdr:from>
    <xdr:to>
      <xdr:col>3</xdr:col>
      <xdr:colOff>325947</xdr:colOff>
      <xdr:row>5</xdr:row>
      <xdr:rowOff>96321</xdr:rowOff>
    </xdr:to>
    <xdr:pic>
      <xdr:nvPicPr>
        <xdr:cNvPr id="6" name="Picture 5">
          <a:extLst>
            <a:ext uri="{FF2B5EF4-FFF2-40B4-BE49-F238E27FC236}">
              <a16:creationId xmlns:a16="http://schemas.microsoft.com/office/drawing/2014/main" id="{339135DD-D618-4C7A-B72A-CA24CC2782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664" y="243731"/>
          <a:ext cx="2019266"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1766028</xdr:colOff>
      <xdr:row>0</xdr:row>
      <xdr:rowOff>141286</xdr:rowOff>
    </xdr:from>
    <xdr:to>
      <xdr:col>2</xdr:col>
      <xdr:colOff>230694</xdr:colOff>
      <xdr:row>5</xdr:row>
      <xdr:rowOff>406</xdr:rowOff>
    </xdr:to>
    <xdr:pic>
      <xdr:nvPicPr>
        <xdr:cNvPr id="2" name="Picture 1">
          <a:extLst>
            <a:ext uri="{FF2B5EF4-FFF2-40B4-BE49-F238E27FC236}">
              <a16:creationId xmlns:a16="http://schemas.microsoft.com/office/drawing/2014/main" id="{8E72533D-07E7-4E21-BB53-21D1C9478E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0716" y="141286"/>
          <a:ext cx="1187228" cy="720000"/>
        </a:xfrm>
        <a:prstGeom prst="rect">
          <a:avLst/>
        </a:prstGeom>
      </xdr:spPr>
    </xdr:pic>
    <xdr:clientData/>
  </xdr:twoCellAnchor>
  <xdr:twoCellAnchor editAs="oneCell">
    <xdr:from>
      <xdr:col>0</xdr:col>
      <xdr:colOff>259217</xdr:colOff>
      <xdr:row>0</xdr:row>
      <xdr:rowOff>122857</xdr:rowOff>
    </xdr:from>
    <xdr:to>
      <xdr:col>1</xdr:col>
      <xdr:colOff>1582427</xdr:colOff>
      <xdr:row>4</xdr:row>
      <xdr:rowOff>132566</xdr:rowOff>
    </xdr:to>
    <xdr:pic>
      <xdr:nvPicPr>
        <xdr:cNvPr id="3" name="Picture 2">
          <a:extLst>
            <a:ext uri="{FF2B5EF4-FFF2-40B4-BE49-F238E27FC236}">
              <a16:creationId xmlns:a16="http://schemas.microsoft.com/office/drawing/2014/main" id="{EC035629-1C9A-41D2-A6C2-FE105821BD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217" y="122857"/>
          <a:ext cx="200243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1784672</xdr:colOff>
      <xdr:row>0</xdr:row>
      <xdr:rowOff>169544</xdr:rowOff>
    </xdr:from>
    <xdr:to>
      <xdr:col>1</xdr:col>
      <xdr:colOff>2978593</xdr:colOff>
      <xdr:row>5</xdr:row>
      <xdr:rowOff>11249</xdr:rowOff>
    </xdr:to>
    <xdr:pic>
      <xdr:nvPicPr>
        <xdr:cNvPr id="2" name="Picture 1">
          <a:extLst>
            <a:ext uri="{FF2B5EF4-FFF2-40B4-BE49-F238E27FC236}">
              <a16:creationId xmlns:a16="http://schemas.microsoft.com/office/drawing/2014/main" id="{D5B48BA9-A711-4E7C-AE18-A336514B5D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9992" y="169544"/>
          <a:ext cx="1193921" cy="718005"/>
        </a:xfrm>
        <a:prstGeom prst="rect">
          <a:avLst/>
        </a:prstGeom>
      </xdr:spPr>
    </xdr:pic>
    <xdr:clientData/>
  </xdr:twoCellAnchor>
  <xdr:twoCellAnchor editAs="oneCell">
    <xdr:from>
      <xdr:col>0</xdr:col>
      <xdr:colOff>274320</xdr:colOff>
      <xdr:row>0</xdr:row>
      <xdr:rowOff>114300</xdr:rowOff>
    </xdr:from>
    <xdr:to>
      <xdr:col>1</xdr:col>
      <xdr:colOff>1611077</xdr:colOff>
      <xdr:row>4</xdr:row>
      <xdr:rowOff>138523</xdr:rowOff>
    </xdr:to>
    <xdr:pic>
      <xdr:nvPicPr>
        <xdr:cNvPr id="4" name="Picture 3">
          <a:extLst>
            <a:ext uri="{FF2B5EF4-FFF2-40B4-BE49-F238E27FC236}">
              <a16:creationId xmlns:a16="http://schemas.microsoft.com/office/drawing/2014/main" id="{031B66DF-0679-4809-A995-911DE8B300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320" y="114300"/>
          <a:ext cx="1992077" cy="725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1818870</xdr:colOff>
      <xdr:row>1</xdr:row>
      <xdr:rowOff>47625</xdr:rowOff>
    </xdr:from>
    <xdr:to>
      <xdr:col>1</xdr:col>
      <xdr:colOff>2990847</xdr:colOff>
      <xdr:row>5</xdr:row>
      <xdr:rowOff>55520</xdr:rowOff>
    </xdr:to>
    <xdr:pic>
      <xdr:nvPicPr>
        <xdr:cNvPr id="2" name="Picture 1">
          <a:extLst>
            <a:ext uri="{FF2B5EF4-FFF2-40B4-BE49-F238E27FC236}">
              <a16:creationId xmlns:a16="http://schemas.microsoft.com/office/drawing/2014/main" id="{659EA4DD-2CA1-480C-9C8D-66D670FDA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7683" y="222250"/>
          <a:ext cx="1179233" cy="717279"/>
        </a:xfrm>
        <a:prstGeom prst="rect">
          <a:avLst/>
        </a:prstGeom>
      </xdr:spPr>
    </xdr:pic>
    <xdr:clientData/>
  </xdr:twoCellAnchor>
  <xdr:twoCellAnchor editAs="oneCell">
    <xdr:from>
      <xdr:col>0</xdr:col>
      <xdr:colOff>402090</xdr:colOff>
      <xdr:row>1</xdr:row>
      <xdr:rowOff>40078</xdr:rowOff>
    </xdr:from>
    <xdr:to>
      <xdr:col>1</xdr:col>
      <xdr:colOff>1656691</xdr:colOff>
      <xdr:row>5</xdr:row>
      <xdr:rowOff>58857</xdr:rowOff>
    </xdr:to>
    <xdr:pic>
      <xdr:nvPicPr>
        <xdr:cNvPr id="3" name="Picture 2">
          <a:extLst>
            <a:ext uri="{FF2B5EF4-FFF2-40B4-BE49-F238E27FC236}">
              <a16:creationId xmlns:a16="http://schemas.microsoft.com/office/drawing/2014/main" id="{012EFE02-011D-44A1-A175-5BD5D683BE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2090" y="214703"/>
          <a:ext cx="192067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257947</xdr:colOff>
      <xdr:row>0</xdr:row>
      <xdr:rowOff>124127</xdr:rowOff>
    </xdr:from>
    <xdr:ext cx="2025520" cy="713289"/>
    <xdr:pic>
      <xdr:nvPicPr>
        <xdr:cNvPr id="3" name="Picture 2">
          <a:extLst>
            <a:ext uri="{FF2B5EF4-FFF2-40B4-BE49-F238E27FC236}">
              <a16:creationId xmlns:a16="http://schemas.microsoft.com/office/drawing/2014/main" id="{63B04FE3-E285-4FBE-B149-72D69B451A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947" y="124127"/>
          <a:ext cx="2025520" cy="713289"/>
        </a:xfrm>
        <a:prstGeom prst="rect">
          <a:avLst/>
        </a:prstGeom>
      </xdr:spPr>
    </xdr:pic>
    <xdr:clientData/>
  </xdr:oneCellAnchor>
  <xdr:twoCellAnchor editAs="oneCell">
    <xdr:from>
      <xdr:col>1</xdr:col>
      <xdr:colOff>1766028</xdr:colOff>
      <xdr:row>0</xdr:row>
      <xdr:rowOff>141286</xdr:rowOff>
    </xdr:from>
    <xdr:to>
      <xdr:col>2</xdr:col>
      <xdr:colOff>34751</xdr:colOff>
      <xdr:row>5</xdr:row>
      <xdr:rowOff>406</xdr:rowOff>
    </xdr:to>
    <xdr:pic>
      <xdr:nvPicPr>
        <xdr:cNvPr id="4" name="Picture 3">
          <a:extLst>
            <a:ext uri="{FF2B5EF4-FFF2-40B4-BE49-F238E27FC236}">
              <a16:creationId xmlns:a16="http://schemas.microsoft.com/office/drawing/2014/main" id="{A29E193E-5603-49E9-AC8E-77527ED187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6588" y="141286"/>
          <a:ext cx="1185006" cy="7354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405077</xdr:colOff>
      <xdr:row>1</xdr:row>
      <xdr:rowOff>53749</xdr:rowOff>
    </xdr:from>
    <xdr:to>
      <xdr:col>2</xdr:col>
      <xdr:colOff>1580463</xdr:colOff>
      <xdr:row>5</xdr:row>
      <xdr:rowOff>57109</xdr:rowOff>
    </xdr:to>
    <xdr:pic>
      <xdr:nvPicPr>
        <xdr:cNvPr id="10" name="Picture 9">
          <a:extLst>
            <a:ext uri="{FF2B5EF4-FFF2-40B4-BE49-F238E27FC236}">
              <a16:creationId xmlns:a16="http://schemas.microsoft.com/office/drawing/2014/main" id="{94AAD8B0-760F-41D0-BC1F-3471DFAF8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6452" y="228374"/>
          <a:ext cx="1187177" cy="717279"/>
        </a:xfrm>
        <a:prstGeom prst="rect">
          <a:avLst/>
        </a:prstGeom>
      </xdr:spPr>
    </xdr:pic>
    <xdr:clientData/>
  </xdr:twoCellAnchor>
  <xdr:twoCellAnchor editAs="oneCell">
    <xdr:from>
      <xdr:col>0</xdr:col>
      <xdr:colOff>333374</xdr:colOff>
      <xdr:row>1</xdr:row>
      <xdr:rowOff>37357</xdr:rowOff>
    </xdr:from>
    <xdr:to>
      <xdr:col>2</xdr:col>
      <xdr:colOff>210426</xdr:colOff>
      <xdr:row>5</xdr:row>
      <xdr:rowOff>57043</xdr:rowOff>
    </xdr:to>
    <xdr:pic>
      <xdr:nvPicPr>
        <xdr:cNvPr id="11" name="Picture 10">
          <a:extLst>
            <a:ext uri="{FF2B5EF4-FFF2-40B4-BE49-F238E27FC236}">
              <a16:creationId xmlns:a16="http://schemas.microsoft.com/office/drawing/2014/main" id="{E4A619FE-111F-4FA7-ACC8-3F97D15A80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4" y="211982"/>
          <a:ext cx="1964845" cy="7236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37</xdr:row>
      <xdr:rowOff>0</xdr:rowOff>
    </xdr:from>
    <xdr:to>
      <xdr:col>11</xdr:col>
      <xdr:colOff>439736</xdr:colOff>
      <xdr:row>60</xdr:row>
      <xdr:rowOff>51625</xdr:rowOff>
    </xdr:to>
    <xdr:graphicFrame macro="">
      <xdr:nvGraphicFramePr>
        <xdr:cNvPr id="14" name="Chart 13">
          <a:extLst>
            <a:ext uri="{FF2B5EF4-FFF2-40B4-BE49-F238E27FC236}">
              <a16:creationId xmlns:a16="http://schemas.microsoft.com/office/drawing/2014/main" id="{E7F63FBD-B499-4BC8-A4F5-A45DC9353B9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10584</xdr:colOff>
      <xdr:row>124</xdr:row>
      <xdr:rowOff>74082</xdr:rowOff>
    </xdr:from>
    <xdr:to>
      <xdr:col>11</xdr:col>
      <xdr:colOff>432665</xdr:colOff>
      <xdr:row>147</xdr:row>
      <xdr:rowOff>125707</xdr:rowOff>
    </xdr:to>
    <xdr:graphicFrame macro="">
      <xdr:nvGraphicFramePr>
        <xdr:cNvPr id="16" name="Chart 15">
          <a:extLst>
            <a:ext uri="{FF2B5EF4-FFF2-40B4-BE49-F238E27FC236}">
              <a16:creationId xmlns:a16="http://schemas.microsoft.com/office/drawing/2014/main" id="{1DBF2934-930A-43A2-A2E8-D1260BF36F6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7928</xdr:colOff>
      <xdr:row>180</xdr:row>
      <xdr:rowOff>142874</xdr:rowOff>
    </xdr:from>
    <xdr:to>
      <xdr:col>11</xdr:col>
      <xdr:colOff>419427</xdr:colOff>
      <xdr:row>207</xdr:row>
      <xdr:rowOff>3999</xdr:rowOff>
    </xdr:to>
    <xdr:graphicFrame macro="">
      <xdr:nvGraphicFramePr>
        <xdr:cNvPr id="17" name="Chart 16">
          <a:extLst>
            <a:ext uri="{FF2B5EF4-FFF2-40B4-BE49-F238E27FC236}">
              <a16:creationId xmlns:a16="http://schemas.microsoft.com/office/drawing/2014/main" id="{7A162E0D-EA1B-465B-A2A9-7E887F352DC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466076</xdr:colOff>
      <xdr:row>1</xdr:row>
      <xdr:rowOff>73251</xdr:rowOff>
    </xdr:from>
    <xdr:to>
      <xdr:col>5</xdr:col>
      <xdr:colOff>400792</xdr:colOff>
      <xdr:row>5</xdr:row>
      <xdr:rowOff>97472</xdr:rowOff>
    </xdr:to>
    <xdr:pic>
      <xdr:nvPicPr>
        <xdr:cNvPr id="11" name="Picture 10">
          <a:extLst>
            <a:ext uri="{FF2B5EF4-FFF2-40B4-BE49-F238E27FC236}">
              <a16:creationId xmlns:a16="http://schemas.microsoft.com/office/drawing/2014/main" id="{7779A88D-722B-496E-A9C0-B952F70D82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0139" y="247876"/>
          <a:ext cx="1270486" cy="717279"/>
        </a:xfrm>
        <a:prstGeom prst="rect">
          <a:avLst/>
        </a:prstGeom>
      </xdr:spPr>
    </xdr:pic>
    <xdr:clientData/>
  </xdr:twoCellAnchor>
  <xdr:twoCellAnchor editAs="oneCell">
    <xdr:from>
      <xdr:col>0</xdr:col>
      <xdr:colOff>336091</xdr:colOff>
      <xdr:row>1</xdr:row>
      <xdr:rowOff>61170</xdr:rowOff>
    </xdr:from>
    <xdr:to>
      <xdr:col>3</xdr:col>
      <xdr:colOff>285246</xdr:colOff>
      <xdr:row>5</xdr:row>
      <xdr:rowOff>95368</xdr:rowOff>
    </xdr:to>
    <xdr:pic>
      <xdr:nvPicPr>
        <xdr:cNvPr id="12" name="Picture 11">
          <a:extLst>
            <a:ext uri="{FF2B5EF4-FFF2-40B4-BE49-F238E27FC236}">
              <a16:creationId xmlns:a16="http://schemas.microsoft.com/office/drawing/2014/main" id="{DBA02CEB-EEA4-40AE-9D91-E87851B0DF6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6091" y="235795"/>
          <a:ext cx="1978660" cy="723628"/>
        </a:xfrm>
        <a:prstGeom prst="rect">
          <a:avLst/>
        </a:prstGeom>
      </xdr:spPr>
    </xdr:pic>
    <xdr:clientData/>
  </xdr:twoCellAnchor>
  <xdr:twoCellAnchor>
    <xdr:from>
      <xdr:col>1</xdr:col>
      <xdr:colOff>0</xdr:colOff>
      <xdr:row>90</xdr:row>
      <xdr:rowOff>174624</xdr:rowOff>
    </xdr:from>
    <xdr:to>
      <xdr:col>11</xdr:col>
      <xdr:colOff>437017</xdr:colOff>
      <xdr:row>120</xdr:row>
      <xdr:rowOff>95249</xdr:rowOff>
    </xdr:to>
    <xdr:graphicFrame macro="">
      <xdr:nvGraphicFramePr>
        <xdr:cNvPr id="13" name="Chart 12">
          <a:extLst>
            <a:ext uri="{FF2B5EF4-FFF2-40B4-BE49-F238E27FC236}">
              <a16:creationId xmlns:a16="http://schemas.microsoft.com/office/drawing/2014/main" id="{089203B5-572D-4FB0-BCAF-9247D6E6DE1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664937</xdr:colOff>
      <xdr:row>9</xdr:row>
      <xdr:rowOff>135846</xdr:rowOff>
    </xdr:from>
    <xdr:to>
      <xdr:col>11</xdr:col>
      <xdr:colOff>439054</xdr:colOff>
      <xdr:row>33</xdr:row>
      <xdr:rowOff>12846</xdr:rowOff>
    </xdr:to>
    <xdr:graphicFrame macro="">
      <xdr:nvGraphicFramePr>
        <xdr:cNvPr id="18" name="Chart 17">
          <a:extLst>
            <a:ext uri="{FF2B5EF4-FFF2-40B4-BE49-F238E27FC236}">
              <a16:creationId xmlns:a16="http://schemas.microsoft.com/office/drawing/2014/main" id="{B7C1ED10-C5D0-48D0-9679-EACEF2586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7938</xdr:colOff>
      <xdr:row>210</xdr:row>
      <xdr:rowOff>149905</xdr:rowOff>
    </xdr:from>
    <xdr:to>
      <xdr:col>11</xdr:col>
      <xdr:colOff>414902</xdr:colOff>
      <xdr:row>237</xdr:row>
      <xdr:rowOff>13751</xdr:rowOff>
    </xdr:to>
    <xdr:graphicFrame macro="">
      <xdr:nvGraphicFramePr>
        <xdr:cNvPr id="21" name="Chart 20">
          <a:extLst>
            <a:ext uri="{FF2B5EF4-FFF2-40B4-BE49-F238E27FC236}">
              <a16:creationId xmlns:a16="http://schemas.microsoft.com/office/drawing/2014/main" id="{F8688808-CAEF-4B93-A900-E02AB228632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241</xdr:row>
      <xdr:rowOff>0</xdr:rowOff>
    </xdr:from>
    <xdr:to>
      <xdr:col>11</xdr:col>
      <xdr:colOff>436169</xdr:colOff>
      <xdr:row>267</xdr:row>
      <xdr:rowOff>30458</xdr:rowOff>
    </xdr:to>
    <xdr:graphicFrame macro="">
      <xdr:nvGraphicFramePr>
        <xdr:cNvPr id="19" name="Chart 18">
          <a:extLst>
            <a:ext uri="{FF2B5EF4-FFF2-40B4-BE49-F238E27FC236}">
              <a16:creationId xmlns:a16="http://schemas.microsoft.com/office/drawing/2014/main" id="{C16B1283-1AA3-4F21-95B7-CD6355EF579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64</xdr:row>
      <xdr:rowOff>0</xdr:rowOff>
    </xdr:from>
    <xdr:to>
      <xdr:col>11</xdr:col>
      <xdr:colOff>439736</xdr:colOff>
      <xdr:row>87</xdr:row>
      <xdr:rowOff>51625</xdr:rowOff>
    </xdr:to>
    <xdr:graphicFrame macro="">
      <xdr:nvGraphicFramePr>
        <xdr:cNvPr id="22" name="Chart 21">
          <a:extLst>
            <a:ext uri="{FF2B5EF4-FFF2-40B4-BE49-F238E27FC236}">
              <a16:creationId xmlns:a16="http://schemas.microsoft.com/office/drawing/2014/main" id="{F64FBD55-B6E7-458E-A20B-5A5B90CFBFD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151</xdr:row>
      <xdr:rowOff>0</xdr:rowOff>
    </xdr:from>
    <xdr:to>
      <xdr:col>11</xdr:col>
      <xdr:colOff>411499</xdr:colOff>
      <xdr:row>177</xdr:row>
      <xdr:rowOff>35750</xdr:rowOff>
    </xdr:to>
    <xdr:graphicFrame macro="">
      <xdr:nvGraphicFramePr>
        <xdr:cNvPr id="20" name="Chart 19">
          <a:extLst>
            <a:ext uri="{FF2B5EF4-FFF2-40B4-BE49-F238E27FC236}">
              <a16:creationId xmlns:a16="http://schemas.microsoft.com/office/drawing/2014/main" id="{8D98BCEC-4B45-4503-9F2C-E976B9D650B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271</xdr:row>
      <xdr:rowOff>0</xdr:rowOff>
    </xdr:from>
    <xdr:to>
      <xdr:col>11</xdr:col>
      <xdr:colOff>439735</xdr:colOff>
      <xdr:row>294</xdr:row>
      <xdr:rowOff>51625</xdr:rowOff>
    </xdr:to>
    <xdr:graphicFrame macro="">
      <xdr:nvGraphicFramePr>
        <xdr:cNvPr id="15" name="Chart 14">
          <a:extLst>
            <a:ext uri="{FF2B5EF4-FFF2-40B4-BE49-F238E27FC236}">
              <a16:creationId xmlns:a16="http://schemas.microsoft.com/office/drawing/2014/main" id="{38047B08-2FD6-43F8-8E61-AEA6EECD92B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298</xdr:row>
      <xdr:rowOff>0</xdr:rowOff>
    </xdr:from>
    <xdr:to>
      <xdr:col>11</xdr:col>
      <xdr:colOff>439735</xdr:colOff>
      <xdr:row>321</xdr:row>
      <xdr:rowOff>51625</xdr:rowOff>
    </xdr:to>
    <xdr:graphicFrame macro="">
      <xdr:nvGraphicFramePr>
        <xdr:cNvPr id="23" name="Chart 22">
          <a:extLst>
            <a:ext uri="{FF2B5EF4-FFF2-40B4-BE49-F238E27FC236}">
              <a16:creationId xmlns:a16="http://schemas.microsoft.com/office/drawing/2014/main" id="{A96CE261-ED72-4DAB-B052-F9F82319D1A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325</xdr:row>
      <xdr:rowOff>0</xdr:rowOff>
    </xdr:from>
    <xdr:to>
      <xdr:col>11</xdr:col>
      <xdr:colOff>437017</xdr:colOff>
      <xdr:row>354</xdr:row>
      <xdr:rowOff>92075</xdr:rowOff>
    </xdr:to>
    <xdr:graphicFrame macro="">
      <xdr:nvGraphicFramePr>
        <xdr:cNvPr id="24" name="Chart 23">
          <a:extLst>
            <a:ext uri="{FF2B5EF4-FFF2-40B4-BE49-F238E27FC236}">
              <a16:creationId xmlns:a16="http://schemas.microsoft.com/office/drawing/2014/main" id="{757196F9-6F17-4D2A-8DC8-58053B5922D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358</xdr:row>
      <xdr:rowOff>0</xdr:rowOff>
    </xdr:from>
    <xdr:to>
      <xdr:col>11</xdr:col>
      <xdr:colOff>422081</xdr:colOff>
      <xdr:row>381</xdr:row>
      <xdr:rowOff>51625</xdr:rowOff>
    </xdr:to>
    <xdr:graphicFrame macro="">
      <xdr:nvGraphicFramePr>
        <xdr:cNvPr id="25" name="Chart 24">
          <a:extLst>
            <a:ext uri="{FF2B5EF4-FFF2-40B4-BE49-F238E27FC236}">
              <a16:creationId xmlns:a16="http://schemas.microsoft.com/office/drawing/2014/main" id="{1FA829E6-3D45-4D2B-BCCD-B1757B0ADE5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385</xdr:row>
      <xdr:rowOff>0</xdr:rowOff>
    </xdr:from>
    <xdr:to>
      <xdr:col>11</xdr:col>
      <xdr:colOff>411499</xdr:colOff>
      <xdr:row>411</xdr:row>
      <xdr:rowOff>35750</xdr:rowOff>
    </xdr:to>
    <xdr:graphicFrame macro="">
      <xdr:nvGraphicFramePr>
        <xdr:cNvPr id="26" name="Chart 25">
          <a:extLst>
            <a:ext uri="{FF2B5EF4-FFF2-40B4-BE49-F238E27FC236}">
              <a16:creationId xmlns:a16="http://schemas.microsoft.com/office/drawing/2014/main" id="{9ADA09E2-FA2B-4595-B054-C6216150681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128182</xdr:colOff>
      <xdr:row>0</xdr:row>
      <xdr:rowOff>79375</xdr:rowOff>
    </xdr:from>
    <xdr:to>
      <xdr:col>3</xdr:col>
      <xdr:colOff>648611</xdr:colOff>
      <xdr:row>4</xdr:row>
      <xdr:rowOff>104504</xdr:rowOff>
    </xdr:to>
    <xdr:pic>
      <xdr:nvPicPr>
        <xdr:cNvPr id="2" name="Picture 1">
          <a:extLst>
            <a:ext uri="{FF2B5EF4-FFF2-40B4-BE49-F238E27FC236}">
              <a16:creationId xmlns:a16="http://schemas.microsoft.com/office/drawing/2014/main" id="{3BB6A4E7-0859-453A-B6E7-43EA496B9A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9120" y="79375"/>
          <a:ext cx="1195116" cy="717279"/>
        </a:xfrm>
        <a:prstGeom prst="rect">
          <a:avLst/>
        </a:prstGeom>
      </xdr:spPr>
    </xdr:pic>
    <xdr:clientData/>
  </xdr:twoCellAnchor>
  <xdr:twoCellAnchor editAs="oneCell">
    <xdr:from>
      <xdr:col>0</xdr:col>
      <xdr:colOff>329065</xdr:colOff>
      <xdr:row>0</xdr:row>
      <xdr:rowOff>68425</xdr:rowOff>
    </xdr:from>
    <xdr:to>
      <xdr:col>1</xdr:col>
      <xdr:colOff>1649266</xdr:colOff>
      <xdr:row>4</xdr:row>
      <xdr:rowOff>83938</xdr:rowOff>
    </xdr:to>
    <xdr:pic>
      <xdr:nvPicPr>
        <xdr:cNvPr id="3" name="Picture 2">
          <a:extLst>
            <a:ext uri="{FF2B5EF4-FFF2-40B4-BE49-F238E27FC236}">
              <a16:creationId xmlns:a16="http://schemas.microsoft.com/office/drawing/2014/main" id="{852BAB3C-E9A5-4285-A80A-7425765C43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065" y="68425"/>
          <a:ext cx="2005230" cy="7172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gov.uk/government/collections/government-conversion-factors-for-company-reporti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82F18-7352-4EA6-B427-0C22FC52F237}">
  <sheetPr>
    <tabColor theme="0"/>
  </sheetPr>
  <dimension ref="B8:O61"/>
  <sheetViews>
    <sheetView showGridLines="0" zoomScale="80" zoomScaleNormal="80" workbookViewId="0">
      <selection activeCell="C15" sqref="C15"/>
    </sheetView>
  </sheetViews>
  <sheetFormatPr defaultColWidth="8.75" defaultRowHeight="14.25" x14ac:dyDescent="0.2"/>
  <cols>
    <col min="1" max="1" width="8.75" style="56"/>
    <col min="2" max="2" width="25.25" style="56" bestFit="1" customWidth="1"/>
    <col min="3" max="3" width="34" style="56" bestFit="1" customWidth="1"/>
    <col min="4" max="16384" width="8.75" style="56"/>
  </cols>
  <sheetData>
    <row r="8" spans="2:8" ht="15" thickBot="1" x14ac:dyDescent="0.25"/>
    <row r="9" spans="2:8" x14ac:dyDescent="0.2">
      <c r="B9" s="57"/>
      <c r="C9" s="57"/>
    </row>
    <row r="10" spans="2:8" s="60" customFormat="1" x14ac:dyDescent="0.2">
      <c r="B10" s="58" t="s">
        <v>553</v>
      </c>
      <c r="C10" s="59" t="s">
        <v>466</v>
      </c>
      <c r="F10" s="56"/>
      <c r="G10" s="56"/>
      <c r="H10" s="56"/>
    </row>
    <row r="11" spans="2:8" s="60" customFormat="1" x14ac:dyDescent="0.2">
      <c r="C11" s="61" t="s">
        <v>469</v>
      </c>
      <c r="F11" s="56"/>
      <c r="G11" s="56"/>
      <c r="H11" s="56"/>
    </row>
    <row r="12" spans="2:8" s="60" customFormat="1" x14ac:dyDescent="0.2">
      <c r="C12" s="62" t="s">
        <v>467</v>
      </c>
      <c r="F12" s="56"/>
      <c r="G12" s="56"/>
      <c r="H12" s="56"/>
    </row>
    <row r="13" spans="2:8" s="60" customFormat="1" ht="15" thickBot="1" x14ac:dyDescent="0.25">
      <c r="B13" s="63"/>
      <c r="C13" s="63"/>
      <c r="F13" s="56"/>
      <c r="G13" s="56"/>
      <c r="H13" s="56"/>
    </row>
    <row r="14" spans="2:8" s="60" customFormat="1" x14ac:dyDescent="0.2">
      <c r="F14" s="56"/>
      <c r="G14" s="56"/>
      <c r="H14" s="56"/>
    </row>
    <row r="15" spans="2:8" s="60" customFormat="1" x14ac:dyDescent="0.2">
      <c r="B15" s="58" t="s">
        <v>546</v>
      </c>
      <c r="C15" s="12" t="s">
        <v>6</v>
      </c>
      <c r="F15" s="56"/>
      <c r="G15" s="56"/>
      <c r="H15" s="56"/>
    </row>
    <row r="17" spans="2:15" x14ac:dyDescent="0.2">
      <c r="B17" s="58" t="s">
        <v>547</v>
      </c>
      <c r="C17" s="12" t="s">
        <v>486</v>
      </c>
    </row>
    <row r="18" spans="2:15" x14ac:dyDescent="0.2">
      <c r="B18" s="64"/>
    </row>
    <row r="19" spans="2:15" x14ac:dyDescent="0.2">
      <c r="B19" s="58" t="s">
        <v>548</v>
      </c>
      <c r="C19" s="12" t="s">
        <v>485</v>
      </c>
    </row>
    <row r="20" spans="2:15" x14ac:dyDescent="0.2">
      <c r="B20" s="64"/>
    </row>
    <row r="21" spans="2:15" s="60" customFormat="1" x14ac:dyDescent="0.2">
      <c r="B21" s="58" t="s">
        <v>549</v>
      </c>
      <c r="C21" s="12"/>
      <c r="F21" s="56"/>
      <c r="G21" s="56"/>
      <c r="H21" s="56"/>
    </row>
    <row r="22" spans="2:15" s="60" customFormat="1" x14ac:dyDescent="0.2">
      <c r="B22" s="58"/>
      <c r="C22" s="65"/>
      <c r="F22" s="56"/>
      <c r="G22" s="56"/>
      <c r="H22" s="56"/>
    </row>
    <row r="23" spans="2:15" s="60" customFormat="1" x14ac:dyDescent="0.2">
      <c r="B23" s="58" t="s">
        <v>550</v>
      </c>
      <c r="C23" s="66"/>
      <c r="F23" s="56"/>
      <c r="G23" s="56"/>
      <c r="H23" s="56"/>
    </row>
    <row r="24" spans="2:15" s="60" customFormat="1" x14ac:dyDescent="0.2">
      <c r="B24" s="58"/>
      <c r="C24" s="65"/>
      <c r="F24" s="56"/>
      <c r="G24" s="56"/>
      <c r="H24" s="56"/>
    </row>
    <row r="25" spans="2:15" s="60" customFormat="1" x14ac:dyDescent="0.2">
      <c r="B25" s="58" t="s">
        <v>551</v>
      </c>
      <c r="C25" s="66"/>
      <c r="F25" s="56"/>
      <c r="G25" s="56"/>
      <c r="H25" s="56"/>
    </row>
    <row r="26" spans="2:15" s="60" customFormat="1" x14ac:dyDescent="0.2">
      <c r="B26" s="58"/>
      <c r="C26" s="67"/>
      <c r="F26" s="56"/>
      <c r="G26" s="56"/>
      <c r="H26" s="56"/>
    </row>
    <row r="27" spans="2:15" s="60" customFormat="1" x14ac:dyDescent="0.2">
      <c r="B27" s="58" t="s">
        <v>552</v>
      </c>
      <c r="C27" s="13"/>
      <c r="F27" s="56"/>
      <c r="G27" s="56"/>
      <c r="H27" s="56"/>
    </row>
    <row r="28" spans="2:15" s="60" customFormat="1" x14ac:dyDescent="0.2">
      <c r="B28" s="58"/>
      <c r="C28" s="65"/>
      <c r="F28" s="56"/>
      <c r="G28" s="56"/>
      <c r="H28" s="56"/>
    </row>
    <row r="29" spans="2:15" s="60" customFormat="1" x14ac:dyDescent="0.2">
      <c r="B29" s="58" t="s">
        <v>27</v>
      </c>
      <c r="C29" s="13"/>
      <c r="F29" s="56"/>
      <c r="G29" s="56"/>
      <c r="H29" s="56"/>
    </row>
    <row r="30" spans="2:15" s="60" customFormat="1" x14ac:dyDescent="0.2">
      <c r="B30" s="58"/>
      <c r="C30" s="67"/>
      <c r="F30" s="56"/>
      <c r="G30" s="56"/>
      <c r="H30" s="56"/>
      <c r="K30" s="56"/>
      <c r="L30" s="56"/>
    </row>
    <row r="31" spans="2:15" s="60" customFormat="1" ht="15" x14ac:dyDescent="0.2">
      <c r="B31" s="58" t="s">
        <v>28</v>
      </c>
      <c r="C31" s="14"/>
      <c r="D31" s="239" t="str">
        <f>IFERROR(IF(DATEDIF('GHG Emission Factors'!C11,C31,"Y")&gt;0,"Coversion factors are now more than a year old. Please contact Local Partnerships to obtain new year factors",""),"")</f>
        <v/>
      </c>
      <c r="E31" s="239"/>
      <c r="F31" s="239"/>
      <c r="G31" s="239"/>
      <c r="H31" s="239"/>
      <c r="I31" s="239"/>
      <c r="J31" s="239"/>
      <c r="K31" s="239"/>
      <c r="L31" s="239"/>
      <c r="M31" s="239"/>
      <c r="N31" s="239"/>
      <c r="O31" s="239"/>
    </row>
    <row r="32" spans="2:15" s="60" customFormat="1" x14ac:dyDescent="0.2">
      <c r="B32" s="68" t="s">
        <v>468</v>
      </c>
      <c r="F32" s="56"/>
      <c r="G32" s="56"/>
      <c r="H32" s="56"/>
    </row>
    <row r="33" spans="2:14" ht="15" thickBot="1" x14ac:dyDescent="0.25"/>
    <row r="34" spans="2:14" ht="14.65" customHeight="1" thickTop="1" x14ac:dyDescent="0.2">
      <c r="B34" s="240" t="s">
        <v>715</v>
      </c>
      <c r="C34" s="240"/>
      <c r="D34" s="240"/>
      <c r="E34" s="240"/>
      <c r="F34" s="240"/>
      <c r="G34" s="240"/>
      <c r="H34" s="240"/>
      <c r="I34" s="240"/>
      <c r="J34" s="240"/>
      <c r="K34" s="240"/>
      <c r="L34" s="240"/>
      <c r="M34" s="240"/>
      <c r="N34" s="240"/>
    </row>
    <row r="35" spans="2:14" x14ac:dyDescent="0.2">
      <c r="B35" s="241"/>
      <c r="C35" s="241"/>
      <c r="D35" s="241"/>
      <c r="E35" s="241"/>
      <c r="F35" s="241"/>
      <c r="G35" s="241"/>
      <c r="H35" s="241"/>
      <c r="I35" s="241"/>
      <c r="J35" s="241"/>
      <c r="K35" s="241"/>
      <c r="L35" s="241"/>
      <c r="M35" s="241"/>
      <c r="N35" s="241"/>
    </row>
    <row r="36" spans="2:14" x14ac:dyDescent="0.2">
      <c r="B36" s="241"/>
      <c r="C36" s="241"/>
      <c r="D36" s="241"/>
      <c r="E36" s="241"/>
      <c r="F36" s="241"/>
      <c r="G36" s="241"/>
      <c r="H36" s="241"/>
      <c r="I36" s="241"/>
      <c r="J36" s="241"/>
      <c r="K36" s="241"/>
      <c r="L36" s="241"/>
      <c r="M36" s="241"/>
      <c r="N36" s="241"/>
    </row>
    <row r="37" spans="2:14" x14ac:dyDescent="0.2">
      <c r="B37" s="241"/>
      <c r="C37" s="241"/>
      <c r="D37" s="241"/>
      <c r="E37" s="241"/>
      <c r="F37" s="241"/>
      <c r="G37" s="241"/>
      <c r="H37" s="241"/>
      <c r="I37" s="241"/>
      <c r="J37" s="241"/>
      <c r="K37" s="241"/>
      <c r="L37" s="241"/>
      <c r="M37" s="241"/>
      <c r="N37" s="241"/>
    </row>
    <row r="38" spans="2:14" x14ac:dyDescent="0.2">
      <c r="B38" s="241"/>
      <c r="C38" s="241"/>
      <c r="D38" s="241"/>
      <c r="E38" s="241"/>
      <c r="F38" s="241"/>
      <c r="G38" s="241"/>
      <c r="H38" s="241"/>
      <c r="I38" s="241"/>
      <c r="J38" s="241"/>
      <c r="K38" s="241"/>
      <c r="L38" s="241"/>
      <c r="M38" s="241"/>
      <c r="N38" s="241"/>
    </row>
    <row r="39" spans="2:14" x14ac:dyDescent="0.2">
      <c r="B39" s="241"/>
      <c r="C39" s="241"/>
      <c r="D39" s="241"/>
      <c r="E39" s="241"/>
      <c r="F39" s="241"/>
      <c r="G39" s="241"/>
      <c r="H39" s="241"/>
      <c r="I39" s="241"/>
      <c r="J39" s="241"/>
      <c r="K39" s="241"/>
      <c r="L39" s="241"/>
      <c r="M39" s="241"/>
      <c r="N39" s="241"/>
    </row>
    <row r="40" spans="2:14" x14ac:dyDescent="0.2">
      <c r="B40" s="241"/>
      <c r="C40" s="241"/>
      <c r="D40" s="241"/>
      <c r="E40" s="241"/>
      <c r="F40" s="241"/>
      <c r="G40" s="241"/>
      <c r="H40" s="241"/>
      <c r="I40" s="241"/>
      <c r="J40" s="241"/>
      <c r="K40" s="241"/>
      <c r="L40" s="241"/>
      <c r="M40" s="241"/>
      <c r="N40" s="241"/>
    </row>
    <row r="41" spans="2:14" x14ac:dyDescent="0.2">
      <c r="B41" s="241"/>
      <c r="C41" s="241"/>
      <c r="D41" s="241"/>
      <c r="E41" s="241"/>
      <c r="F41" s="241"/>
      <c r="G41" s="241"/>
      <c r="H41" s="241"/>
      <c r="I41" s="241"/>
      <c r="J41" s="241"/>
      <c r="K41" s="241"/>
      <c r="L41" s="241"/>
      <c r="M41" s="241"/>
      <c r="N41" s="241"/>
    </row>
    <row r="42" spans="2:14" x14ac:dyDescent="0.2">
      <c r="B42" s="241"/>
      <c r="C42" s="241"/>
      <c r="D42" s="241"/>
      <c r="E42" s="241"/>
      <c r="F42" s="241"/>
      <c r="G42" s="241"/>
      <c r="H42" s="241"/>
      <c r="I42" s="241"/>
      <c r="J42" s="241"/>
      <c r="K42" s="241"/>
      <c r="L42" s="241"/>
      <c r="M42" s="241"/>
      <c r="N42" s="241"/>
    </row>
    <row r="43" spans="2:14" x14ac:dyDescent="0.2">
      <c r="B43" s="241"/>
      <c r="C43" s="241"/>
      <c r="D43" s="241"/>
      <c r="E43" s="241"/>
      <c r="F43" s="241"/>
      <c r="G43" s="241"/>
      <c r="H43" s="241"/>
      <c r="I43" s="241"/>
      <c r="J43" s="241"/>
      <c r="K43" s="241"/>
      <c r="L43" s="241"/>
      <c r="M43" s="241"/>
      <c r="N43" s="241"/>
    </row>
    <row r="44" spans="2:14" x14ac:dyDescent="0.2">
      <c r="B44" s="241"/>
      <c r="C44" s="241"/>
      <c r="D44" s="241"/>
      <c r="E44" s="241"/>
      <c r="F44" s="241"/>
      <c r="G44" s="241"/>
      <c r="H44" s="241"/>
      <c r="I44" s="241"/>
      <c r="J44" s="241"/>
      <c r="K44" s="241"/>
      <c r="L44" s="241"/>
      <c r="M44" s="241"/>
      <c r="N44" s="241"/>
    </row>
    <row r="45" spans="2:14" x14ac:dyDescent="0.2">
      <c r="B45" s="241"/>
      <c r="C45" s="241"/>
      <c r="D45" s="241"/>
      <c r="E45" s="241"/>
      <c r="F45" s="241"/>
      <c r="G45" s="241"/>
      <c r="H45" s="241"/>
      <c r="I45" s="241"/>
      <c r="J45" s="241"/>
      <c r="K45" s="241"/>
      <c r="L45" s="241"/>
      <c r="M45" s="241"/>
      <c r="N45" s="241"/>
    </row>
    <row r="46" spans="2:14" x14ac:dyDescent="0.2">
      <c r="B46" s="241"/>
      <c r="C46" s="241"/>
      <c r="D46" s="241"/>
      <c r="E46" s="241"/>
      <c r="F46" s="241"/>
      <c r="G46" s="241"/>
      <c r="H46" s="241"/>
      <c r="I46" s="241"/>
      <c r="J46" s="241"/>
      <c r="K46" s="241"/>
      <c r="L46" s="241"/>
      <c r="M46" s="241"/>
      <c r="N46" s="241"/>
    </row>
    <row r="47" spans="2:14" x14ac:dyDescent="0.2">
      <c r="B47" s="241"/>
      <c r="C47" s="241"/>
      <c r="D47" s="241"/>
      <c r="E47" s="241"/>
      <c r="F47" s="241"/>
      <c r="G47" s="241"/>
      <c r="H47" s="241"/>
      <c r="I47" s="241"/>
      <c r="J47" s="241"/>
      <c r="K47" s="241"/>
      <c r="L47" s="241"/>
      <c r="M47" s="241"/>
      <c r="N47" s="241"/>
    </row>
    <row r="48" spans="2:14" x14ac:dyDescent="0.2">
      <c r="B48" s="241"/>
      <c r="C48" s="241"/>
      <c r="D48" s="241"/>
      <c r="E48" s="241"/>
      <c r="F48" s="241"/>
      <c r="G48" s="241"/>
      <c r="H48" s="241"/>
      <c r="I48" s="241"/>
      <c r="J48" s="241"/>
      <c r="K48" s="241"/>
      <c r="L48" s="241"/>
      <c r="M48" s="241"/>
      <c r="N48" s="241"/>
    </row>
    <row r="49" spans="2:14" x14ac:dyDescent="0.2">
      <c r="B49" s="241"/>
      <c r="C49" s="241"/>
      <c r="D49" s="241"/>
      <c r="E49" s="241"/>
      <c r="F49" s="241"/>
      <c r="G49" s="241"/>
      <c r="H49" s="241"/>
      <c r="I49" s="241"/>
      <c r="J49" s="241"/>
      <c r="K49" s="241"/>
      <c r="L49" s="241"/>
      <c r="M49" s="241"/>
      <c r="N49" s="241"/>
    </row>
    <row r="50" spans="2:14" x14ac:dyDescent="0.2">
      <c r="B50" s="241"/>
      <c r="C50" s="241"/>
      <c r="D50" s="241"/>
      <c r="E50" s="241"/>
      <c r="F50" s="241"/>
      <c r="G50" s="241"/>
      <c r="H50" s="241"/>
      <c r="I50" s="241"/>
      <c r="J50" s="241"/>
      <c r="K50" s="241"/>
      <c r="L50" s="241"/>
      <c r="M50" s="241"/>
      <c r="N50" s="241"/>
    </row>
    <row r="51" spans="2:14" x14ac:dyDescent="0.2">
      <c r="B51" s="241"/>
      <c r="C51" s="241"/>
      <c r="D51" s="241"/>
      <c r="E51" s="241"/>
      <c r="F51" s="241"/>
      <c r="G51" s="241"/>
      <c r="H51" s="241"/>
      <c r="I51" s="241"/>
      <c r="J51" s="241"/>
      <c r="K51" s="241"/>
      <c r="L51" s="241"/>
      <c r="M51" s="241"/>
      <c r="N51" s="241"/>
    </row>
    <row r="52" spans="2:14" x14ac:dyDescent="0.2">
      <c r="B52" s="241"/>
      <c r="C52" s="241"/>
      <c r="D52" s="241"/>
      <c r="E52" s="241"/>
      <c r="F52" s="241"/>
      <c r="G52" s="241"/>
      <c r="H52" s="241"/>
      <c r="I52" s="241"/>
      <c r="J52" s="241"/>
      <c r="K52" s="241"/>
      <c r="L52" s="241"/>
      <c r="M52" s="241"/>
      <c r="N52" s="241"/>
    </row>
    <row r="53" spans="2:14" x14ac:dyDescent="0.2">
      <c r="B53" s="241"/>
      <c r="C53" s="241"/>
      <c r="D53" s="241"/>
      <c r="E53" s="241"/>
      <c r="F53" s="241"/>
      <c r="G53" s="241"/>
      <c r="H53" s="241"/>
      <c r="I53" s="241"/>
      <c r="J53" s="241"/>
      <c r="K53" s="241"/>
      <c r="L53" s="241"/>
      <c r="M53" s="241"/>
      <c r="N53" s="241"/>
    </row>
    <row r="54" spans="2:14" x14ac:dyDescent="0.2">
      <c r="B54" s="241"/>
      <c r="C54" s="241"/>
      <c r="D54" s="241"/>
      <c r="E54" s="241"/>
      <c r="F54" s="241"/>
      <c r="G54" s="241"/>
      <c r="H54" s="241"/>
      <c r="I54" s="241"/>
      <c r="J54" s="241"/>
      <c r="K54" s="241"/>
      <c r="L54" s="241"/>
      <c r="M54" s="241"/>
      <c r="N54" s="241"/>
    </row>
    <row r="55" spans="2:14" x14ac:dyDescent="0.2">
      <c r="B55" s="241"/>
      <c r="C55" s="241"/>
      <c r="D55" s="241"/>
      <c r="E55" s="241"/>
      <c r="F55" s="241"/>
      <c r="G55" s="241"/>
      <c r="H55" s="241"/>
      <c r="I55" s="241"/>
      <c r="J55" s="241"/>
      <c r="K55" s="241"/>
      <c r="L55" s="241"/>
      <c r="M55" s="241"/>
      <c r="N55" s="241"/>
    </row>
    <row r="56" spans="2:14" x14ac:dyDescent="0.2">
      <c r="B56" s="241"/>
      <c r="C56" s="241"/>
      <c r="D56" s="241"/>
      <c r="E56" s="241"/>
      <c r="F56" s="241"/>
      <c r="G56" s="241"/>
      <c r="H56" s="241"/>
      <c r="I56" s="241"/>
      <c r="J56" s="241"/>
      <c r="K56" s="241"/>
      <c r="L56" s="241"/>
      <c r="M56" s="241"/>
      <c r="N56" s="241"/>
    </row>
    <row r="57" spans="2:14" ht="27.4" customHeight="1" x14ac:dyDescent="0.2">
      <c r="B57" s="241"/>
      <c r="C57" s="241"/>
      <c r="D57" s="241"/>
      <c r="E57" s="241"/>
      <c r="F57" s="241"/>
      <c r="G57" s="241"/>
      <c r="H57" s="241"/>
      <c r="I57" s="241"/>
      <c r="J57" s="241"/>
      <c r="K57" s="241"/>
      <c r="L57" s="241"/>
      <c r="M57" s="241"/>
      <c r="N57" s="241"/>
    </row>
    <row r="58" spans="2:14" ht="15.75" thickBot="1" x14ac:dyDescent="0.3">
      <c r="B58" s="69"/>
      <c r="C58" s="70"/>
      <c r="D58" s="70"/>
      <c r="E58" s="70"/>
      <c r="F58" s="70"/>
      <c r="G58" s="70"/>
      <c r="H58" s="70"/>
      <c r="I58" s="70"/>
      <c r="J58" s="70"/>
      <c r="K58" s="70"/>
      <c r="L58" s="70"/>
      <c r="M58" s="70"/>
      <c r="N58" s="70"/>
    </row>
    <row r="59" spans="2:14" ht="15" thickTop="1" x14ac:dyDescent="0.2"/>
    <row r="60" spans="2:14" ht="15" x14ac:dyDescent="0.25">
      <c r="B60" s="71" t="s">
        <v>554</v>
      </c>
    </row>
    <row r="61" spans="2:14" x14ac:dyDescent="0.2">
      <c r="B61" s="56" t="s">
        <v>613</v>
      </c>
    </row>
  </sheetData>
  <mergeCells count="2">
    <mergeCell ref="D31:O31"/>
    <mergeCell ref="B34:N57"/>
  </mergeCells>
  <conditionalFormatting sqref="D31">
    <cfRule type="containsText" dxfId="48" priority="1" operator="containsText" text="Coversion factors are now more than a year old. Please contact Local Partnerships to obtain new year factors">
      <formula>NOT(ISERROR(SEARCH("Coversion factors are now more than a year old. Please contact Local Partnerships to obtain new year factors",D31)))</formula>
    </cfRule>
  </conditionalFormatting>
  <dataValidations count="1">
    <dataValidation type="custom" allowBlank="1" showInputMessage="1" showErrorMessage="1" errorTitle="Not a Valid Date" error="The data entered is not a valid date, please click the &quot;Retry&quot; button and enter a date in a DD/MM/YYY format." sqref="C31" xr:uid="{FE6A0AF6-C5E0-47EB-940E-9231983E2D54}">
      <formula1>AND(ISNUMBER(C31),LEFT(CELL("format",C31),1)="D")</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Reporting Year" prompt="Please select the reporting year for consumption data" xr:uid="{62E7D7F0-F5D9-45A7-A7AB-956E75DACE41}">
          <x14:formula1>
            <xm:f>'List Tab'!$B$4:$B$16</xm:f>
          </x14:formula1>
          <xm:sqref>C15:C16 C18 C20</xm:sqref>
        </x14:dataValidation>
        <x14:dataValidation type="list" allowBlank="1" showInputMessage="1" showErrorMessage="1" errorTitle="Reporting Year Start" error="Please select start month of reporting year" xr:uid="{F38F1B8C-9DAE-4273-B110-CDD0BE6FAF0D}">
          <x14:formula1>
            <xm:f>'List Tab'!$D$4:$D$16</xm:f>
          </x14:formula1>
          <xm:sqref>C17</xm:sqref>
        </x14:dataValidation>
        <x14:dataValidation type="list" allowBlank="1" showInputMessage="1" showErrorMessage="1" errorTitle="Reporting Year End" error="Please select end month of reporting year" xr:uid="{6FF30A36-C484-4DF5-B93C-4BC2F36E9B51}">
          <x14:formula1>
            <xm:f>'List Tab'!$D$4:$D$16</xm:f>
          </x14:formula1>
          <xm:sqref>C19</xm:sqref>
        </x14:dataValidation>
        <x14:dataValidation type="list" allowBlank="1" showInputMessage="1" showErrorMessage="1" promptTitle="Authority Name" prompt="Please select the authority from the list" xr:uid="{FE1900D8-1B7E-48E0-94F1-40FBB2B4313B}">
          <x14:formula1>
            <xm:f>'List Tab'!$F$4:$F$378</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1261-722E-4C7F-8E5E-51E03A50A1A6}">
  <sheetPr>
    <tabColor rgb="FFCFDB00"/>
  </sheetPr>
  <dimension ref="A1:J132"/>
  <sheetViews>
    <sheetView topLeftCell="D1" zoomScaleNormal="100" workbookViewId="0">
      <selection activeCell="G16" sqref="G16"/>
    </sheetView>
  </sheetViews>
  <sheetFormatPr defaultRowHeight="14.25" x14ac:dyDescent="0.2"/>
  <cols>
    <col min="1" max="1" width="13.75" bestFit="1" customWidth="1"/>
    <col min="2" max="2" width="7.25" bestFit="1" customWidth="1"/>
    <col min="3" max="3" width="26.625" bestFit="1" customWidth="1"/>
    <col min="4" max="4" width="7.5" bestFit="1" customWidth="1"/>
    <col min="5" max="5" width="29.5" bestFit="1" customWidth="1"/>
    <col min="6" max="6" width="45.625" bestFit="1" customWidth="1"/>
    <col min="7" max="7" width="17.25" bestFit="1" customWidth="1"/>
    <col min="8" max="8" width="12.125" bestFit="1" customWidth="1"/>
    <col min="9" max="9" width="16.625" bestFit="1" customWidth="1"/>
    <col min="10" max="10" width="17.625" bestFit="1" customWidth="1"/>
  </cols>
  <sheetData>
    <row r="1" spans="1:10" ht="15" x14ac:dyDescent="0.25">
      <c r="A1" s="145" t="s">
        <v>593</v>
      </c>
      <c r="B1" s="145" t="s">
        <v>59</v>
      </c>
      <c r="C1" s="145" t="s">
        <v>594</v>
      </c>
      <c r="D1" s="145" t="s">
        <v>0</v>
      </c>
      <c r="E1" s="145" t="s">
        <v>457</v>
      </c>
      <c r="F1" s="145" t="s">
        <v>58</v>
      </c>
      <c r="G1" s="145" t="s">
        <v>455</v>
      </c>
      <c r="H1" s="145" t="s">
        <v>60</v>
      </c>
      <c r="I1" s="145" t="s">
        <v>61</v>
      </c>
      <c r="J1" s="145" t="s">
        <v>595</v>
      </c>
    </row>
    <row r="2" spans="1:10" x14ac:dyDescent="0.2">
      <c r="A2" s="146">
        <f>Overview!$C$21</f>
        <v>0</v>
      </c>
      <c r="B2" s="146" t="str">
        <f>Overview!$C$15</f>
        <v>2019-20</v>
      </c>
      <c r="C2" s="146" t="str">
        <f>'Scope guidance'!$D$32</f>
        <v>Operational Control Boundary</v>
      </c>
      <c r="D2" s="146" t="s">
        <v>49</v>
      </c>
      <c r="E2" s="146" t="s">
        <v>458</v>
      </c>
      <c r="F2" s="146" t="s">
        <v>7</v>
      </c>
      <c r="G2" s="146" t="s">
        <v>24</v>
      </c>
      <c r="H2" s="146">
        <f>'Scope 1'!E17</f>
        <v>21766085.613621011</v>
      </c>
      <c r="I2" s="146">
        <f>'Scope 1'!F17</f>
        <v>0.18385000000000001</v>
      </c>
      <c r="J2" s="146">
        <f>IF('Scope 1'!G17="Enter Consumption Figure",0,'Scope 1'!G17)</f>
        <v>4001.6948400642232</v>
      </c>
    </row>
    <row r="3" spans="1:10" x14ac:dyDescent="0.2">
      <c r="A3" s="146">
        <f>Overview!$C$21</f>
        <v>0</v>
      </c>
      <c r="B3" s="146" t="str">
        <f>Overview!$C$15</f>
        <v>2019-20</v>
      </c>
      <c r="C3" s="146" t="str">
        <f>'Scope guidance'!$D$32</f>
        <v>Operational Control Boundary</v>
      </c>
      <c r="D3" s="146" t="s">
        <v>49</v>
      </c>
      <c r="E3" s="146" t="s">
        <v>458</v>
      </c>
      <c r="F3" s="146" t="s">
        <v>449</v>
      </c>
      <c r="G3" s="146" t="s">
        <v>24</v>
      </c>
      <c r="H3" s="146">
        <f>IF('Scope 1'!C18="Litres",0,'Scope 1'!E18)</f>
        <v>0</v>
      </c>
      <c r="I3" s="146">
        <f>IF('Scope 1'!C18="Litres",0,'Scope 1'!F18)</f>
        <v>0.24675</v>
      </c>
      <c r="J3" s="146">
        <f>IF(OR('Scope 1'!C18="Litres",'Scope 1'!G18="Enter Consumption Figure"),0,'Scope 1'!G18)</f>
        <v>0</v>
      </c>
    </row>
    <row r="4" spans="1:10" x14ac:dyDescent="0.2">
      <c r="A4" s="146">
        <f>Overview!$C$21</f>
        <v>0</v>
      </c>
      <c r="B4" s="146" t="str">
        <f>Overview!$C$15</f>
        <v>2019-20</v>
      </c>
      <c r="C4" s="146" t="str">
        <f>'Scope guidance'!$D$32</f>
        <v>Operational Control Boundary</v>
      </c>
      <c r="D4" s="146" t="s">
        <v>49</v>
      </c>
      <c r="E4" s="146" t="s">
        <v>458</v>
      </c>
      <c r="F4" s="146" t="s">
        <v>450</v>
      </c>
      <c r="G4" s="146" t="s">
        <v>24</v>
      </c>
      <c r="H4" s="146">
        <f>IF('Scope 1'!C19="Litres",0,'Scope 1'!E19)</f>
        <v>0</v>
      </c>
      <c r="I4" s="146">
        <f>IF('Scope 1'!C19="Litres",0,'Scope 1'!F19)</f>
        <v>0.25675999999999999</v>
      </c>
      <c r="J4" s="146">
        <f>IF(OR('Scope 1'!C19="Litres",'Scope 1'!G19="Enter Consumption Figure"),0,'Scope 1'!G19)</f>
        <v>0</v>
      </c>
    </row>
    <row r="5" spans="1:10" x14ac:dyDescent="0.2">
      <c r="A5" s="146">
        <f>Overview!$C$21</f>
        <v>0</v>
      </c>
      <c r="B5" s="146" t="str">
        <f>Overview!$C$15</f>
        <v>2019-20</v>
      </c>
      <c r="C5" s="146" t="str">
        <f>'Scope guidance'!$D$32</f>
        <v>Operational Control Boundary</v>
      </c>
      <c r="D5" s="146" t="s">
        <v>49</v>
      </c>
      <c r="E5" s="146" t="s">
        <v>458</v>
      </c>
      <c r="F5" s="146" t="s">
        <v>451</v>
      </c>
      <c r="G5" s="146" t="s">
        <v>24</v>
      </c>
      <c r="H5" s="146">
        <f>'Scope 1'!E20</f>
        <v>0</v>
      </c>
      <c r="I5" s="146">
        <f>'Scope 1'!F20</f>
        <v>1.5630000000000002E-2</v>
      </c>
      <c r="J5" s="146">
        <f>IF('Scope 1'!G20="Enter Consumption Figure",0,'Scope 1'!G20)</f>
        <v>0</v>
      </c>
    </row>
    <row r="6" spans="1:10" x14ac:dyDescent="0.2">
      <c r="A6" s="146">
        <f>Overview!$C$21</f>
        <v>0</v>
      </c>
      <c r="B6" s="146" t="str">
        <f>Overview!$C$15</f>
        <v>2019-20</v>
      </c>
      <c r="C6" s="146" t="str">
        <f>'Scope guidance'!$D$32</f>
        <v>Operational Control Boundary</v>
      </c>
      <c r="D6" s="146" t="s">
        <v>49</v>
      </c>
      <c r="E6" s="146" t="s">
        <v>458</v>
      </c>
      <c r="F6" s="146" t="s">
        <v>449</v>
      </c>
      <c r="G6" s="146" t="s">
        <v>524</v>
      </c>
      <c r="H6" s="146">
        <f>IF('Scope 1'!C18="kWh (Gross CV)",0,'Scope 1'!E18)</f>
        <v>0</v>
      </c>
      <c r="I6" s="146">
        <f>IF('Scope 1'!C18="kWh (Gross CV)",0,'Scope 1'!F18)</f>
        <v>0</v>
      </c>
      <c r="J6" s="146">
        <f>IF(OR('Scope 1'!C18="kWh (Gross CV)",'Scope 1'!G18="Enter Consumption Figure"),0,'Scope 1'!G18)</f>
        <v>0</v>
      </c>
    </row>
    <row r="7" spans="1:10" x14ac:dyDescent="0.2">
      <c r="A7" s="146">
        <f>Overview!$C$21</f>
        <v>0</v>
      </c>
      <c r="B7" s="146" t="str">
        <f>Overview!$C$15</f>
        <v>2019-20</v>
      </c>
      <c r="C7" s="146" t="str">
        <f>'Scope guidance'!$D$32</f>
        <v>Operational Control Boundary</v>
      </c>
      <c r="D7" s="146" t="s">
        <v>49</v>
      </c>
      <c r="E7" s="146" t="s">
        <v>458</v>
      </c>
      <c r="F7" s="146" t="s">
        <v>450</v>
      </c>
      <c r="G7" s="146" t="s">
        <v>524</v>
      </c>
      <c r="H7" s="146">
        <f>IF('Scope 1'!C19="kWh (Gross CV)",0,'Scope 1'!E19)</f>
        <v>0</v>
      </c>
      <c r="I7" s="146">
        <f>IF('Scope 1'!C19="kWh (Gross CV)",0,'Scope 1'!F19)</f>
        <v>0</v>
      </c>
      <c r="J7" s="146">
        <f>IF(OR('Scope 1'!C19="kWh (Gross CV)",'Scope 1'!G19="Enter Consumption Figure"),0,'Scope 1'!G19)</f>
        <v>0</v>
      </c>
    </row>
    <row r="8" spans="1:10" x14ac:dyDescent="0.2">
      <c r="A8" s="146">
        <f>Overview!$C$21</f>
        <v>0</v>
      </c>
      <c r="B8" s="146" t="str">
        <f>Overview!$C$15</f>
        <v>2019-20</v>
      </c>
      <c r="C8" s="146" t="str">
        <f>'Scope guidance'!$D$32</f>
        <v>Operational Control Boundary</v>
      </c>
      <c r="D8" s="146" t="s">
        <v>49</v>
      </c>
      <c r="E8" s="146" t="s">
        <v>510</v>
      </c>
      <c r="F8" s="146" t="s">
        <v>592</v>
      </c>
      <c r="G8" s="146" t="s">
        <v>581</v>
      </c>
      <c r="H8" s="146">
        <f>'Scope 1'!E29</f>
        <v>0</v>
      </c>
      <c r="I8" s="147">
        <f>'Scope 1'!F29</f>
        <v>675</v>
      </c>
      <c r="J8" s="146">
        <f>IF('Scope 1'!G29="Enter Consumption Figure",0,'Scope 1'!G29)</f>
        <v>0</v>
      </c>
    </row>
    <row r="9" spans="1:10" x14ac:dyDescent="0.2">
      <c r="A9" s="146">
        <f>Overview!$C$21</f>
        <v>0</v>
      </c>
      <c r="B9" s="146" t="str">
        <f>Overview!$C$15</f>
        <v>2019-20</v>
      </c>
      <c r="C9" s="146" t="str">
        <f>'Scope guidance'!$D$32</f>
        <v>Operational Control Boundary</v>
      </c>
      <c r="D9" s="146" t="s">
        <v>49</v>
      </c>
      <c r="E9" s="146" t="s">
        <v>510</v>
      </c>
      <c r="F9" s="146" t="s">
        <v>580</v>
      </c>
      <c r="G9" s="146" t="s">
        <v>581</v>
      </c>
      <c r="H9" s="146">
        <f>'Scope 1'!E30</f>
        <v>0</v>
      </c>
      <c r="I9" s="147">
        <f>'Scope 1'!F30</f>
        <v>2088</v>
      </c>
      <c r="J9" s="146">
        <f>IF('Scope 1'!G30="Enter Consumption Figure",0,'Scope 1'!G30)</f>
        <v>0</v>
      </c>
    </row>
    <row r="10" spans="1:10" x14ac:dyDescent="0.2">
      <c r="A10" s="146">
        <f>Overview!$C$21</f>
        <v>0</v>
      </c>
      <c r="B10" s="146" t="str">
        <f>Overview!$C$15</f>
        <v>2019-20</v>
      </c>
      <c r="C10" s="146" t="str">
        <f>'Scope guidance'!$D$32</f>
        <v>Operational Control Boundary</v>
      </c>
      <c r="D10" s="146" t="s">
        <v>49</v>
      </c>
      <c r="E10" s="146" t="s">
        <v>510</v>
      </c>
      <c r="F10" s="146" t="s">
        <v>590</v>
      </c>
      <c r="G10" s="146" t="s">
        <v>581</v>
      </c>
      <c r="H10" s="146">
        <f>'Scope 1'!E31</f>
        <v>0</v>
      </c>
      <c r="I10" s="147">
        <f>'Scope 1'!F31</f>
        <v>1810</v>
      </c>
      <c r="J10" s="146">
        <f>IF('Scope 1'!G31="Enter Consumption Figure",0,'Scope 1'!G31)</f>
        <v>0</v>
      </c>
    </row>
    <row r="11" spans="1:10" x14ac:dyDescent="0.2">
      <c r="A11" s="146">
        <f>Overview!$C$21</f>
        <v>0</v>
      </c>
      <c r="B11" s="146" t="str">
        <f>Overview!$C$15</f>
        <v>2019-20</v>
      </c>
      <c r="C11" s="146" t="str">
        <f>'Scope guidance'!$D$32</f>
        <v>Operational Control Boundary</v>
      </c>
      <c r="D11" s="146" t="s">
        <v>49</v>
      </c>
      <c r="E11" s="146" t="s">
        <v>510</v>
      </c>
      <c r="F11" s="146" t="s">
        <v>578</v>
      </c>
      <c r="G11" s="146" t="str">
        <f>IF('Scope 1'!$C$36="","",'Scope 1'!$C$36)</f>
        <v/>
      </c>
      <c r="H11" s="146">
        <f>'Scope 1'!E36</f>
        <v>0</v>
      </c>
      <c r="I11" s="147">
        <f>'Scope 1'!F36</f>
        <v>0</v>
      </c>
      <c r="J11" s="146">
        <f>IF('Scope 1'!G36="Enter Consumption Figure",0,'Scope 1'!G36)</f>
        <v>0</v>
      </c>
    </row>
    <row r="12" spans="1:10" x14ac:dyDescent="0.2">
      <c r="A12" s="146">
        <f>Overview!$C$21</f>
        <v>0</v>
      </c>
      <c r="B12" s="146" t="str">
        <f>Overview!$C$15</f>
        <v>2019-20</v>
      </c>
      <c r="C12" s="146" t="str">
        <f>'Scope guidance'!$D$32</f>
        <v>Operational Control Boundary</v>
      </c>
      <c r="D12" s="146" t="s">
        <v>49</v>
      </c>
      <c r="E12" s="146" t="s">
        <v>506</v>
      </c>
      <c r="F12" s="146" t="s">
        <v>472</v>
      </c>
      <c r="G12" s="146" t="s">
        <v>25</v>
      </c>
      <c r="H12" s="146">
        <f>IF('Scope 1'!C41="Litres",0,'Scope 1'!E41)</f>
        <v>0</v>
      </c>
      <c r="I12" s="146">
        <f>IF('Scope 1'!C41="Litres",0,'Scope 1'!F41)</f>
        <v>0.22868000000000002</v>
      </c>
      <c r="J12" s="146">
        <f>IF(OR('Scope 1'!C41="Litres",'Scope 1'!G41="Enter Consumption Figure"),0,'Scope 1'!G41)</f>
        <v>0</v>
      </c>
    </row>
    <row r="13" spans="1:10" x14ac:dyDescent="0.2">
      <c r="A13" s="146">
        <f>Overview!$C$21</f>
        <v>0</v>
      </c>
      <c r="B13" s="146" t="str">
        <f>Overview!$C$15</f>
        <v>2019-20</v>
      </c>
      <c r="C13" s="146" t="str">
        <f>'Scope guidance'!$D$32</f>
        <v>Operational Control Boundary</v>
      </c>
      <c r="D13" s="146" t="s">
        <v>49</v>
      </c>
      <c r="E13" s="146" t="s">
        <v>506</v>
      </c>
      <c r="F13" s="146" t="s">
        <v>476</v>
      </c>
      <c r="G13" s="146" t="s">
        <v>25</v>
      </c>
      <c r="H13" s="146">
        <f>IF('Scope 1'!C42="Litres",0,'Scope 1'!E42)</f>
        <v>0</v>
      </c>
      <c r="I13" s="146">
        <f>IF('Scope 1'!C42="Litres",0,'Scope 1'!F42)</f>
        <v>0.27459</v>
      </c>
      <c r="J13" s="146">
        <f>IF(OR('Scope 1'!C42="Litres",'Scope 1'!G42="Enter Consumption Figure"),0,'Scope 1'!G42)</f>
        <v>0</v>
      </c>
    </row>
    <row r="14" spans="1:10" x14ac:dyDescent="0.2">
      <c r="A14" s="146">
        <f>Overview!$C$21</f>
        <v>0</v>
      </c>
      <c r="B14" s="146" t="str">
        <f>Overview!$C$15</f>
        <v>2019-20</v>
      </c>
      <c r="C14" s="146" t="str">
        <f>'Scope guidance'!$D$32</f>
        <v>Operational Control Boundary</v>
      </c>
      <c r="D14" s="146" t="s">
        <v>49</v>
      </c>
      <c r="E14" s="146" t="s">
        <v>506</v>
      </c>
      <c r="F14" s="146" t="s">
        <v>519</v>
      </c>
      <c r="G14" s="146" t="s">
        <v>25</v>
      </c>
      <c r="H14" s="146">
        <f>IF('Scope 1'!C43="Litres",0,'Scope 1'!E43)</f>
        <v>0</v>
      </c>
      <c r="I14" s="146">
        <f>IF('Scope 1'!C43="Litres",0,'Scope 1'!F43)</f>
        <v>0.33712999999999999</v>
      </c>
      <c r="J14" s="146">
        <f>IF(OR('Scope 1'!C43="Litres",'Scope 1'!G43="Enter Consumption Figure"),0,'Scope 1'!G43)</f>
        <v>0</v>
      </c>
    </row>
    <row r="15" spans="1:10" x14ac:dyDescent="0.2">
      <c r="A15" s="146">
        <f>Overview!$C$21</f>
        <v>0</v>
      </c>
      <c r="B15" s="146" t="str">
        <f>Overview!$C$15</f>
        <v>2019-20</v>
      </c>
      <c r="C15" s="146" t="str">
        <f>'Scope guidance'!$D$32</f>
        <v>Operational Control Boundary</v>
      </c>
      <c r="D15" s="146" t="s">
        <v>49</v>
      </c>
      <c r="E15" s="146" t="s">
        <v>506</v>
      </c>
      <c r="F15" s="146" t="s">
        <v>515</v>
      </c>
      <c r="G15" s="146" t="s">
        <v>25</v>
      </c>
      <c r="H15" s="146">
        <f>IF('Scope 1'!C44="Litres",0,'Scope 1'!E44)</f>
        <v>0</v>
      </c>
      <c r="I15" s="146">
        <f>IF('Scope 1'!C44="Litres",0,'Scope 1'!F44)</f>
        <v>0.29132999999999998</v>
      </c>
      <c r="J15" s="146">
        <f>IF(OR('Scope 1'!C44="Litres",'Scope 1'!G44="Enter Consumption Figure"),0,'Scope 1'!G44)</f>
        <v>0</v>
      </c>
    </row>
    <row r="16" spans="1:10" x14ac:dyDescent="0.2">
      <c r="A16" s="146">
        <f>Overview!$C$21</f>
        <v>0</v>
      </c>
      <c r="B16" s="146" t="str">
        <f>Overview!$C$15</f>
        <v>2019-20</v>
      </c>
      <c r="C16" s="146" t="str">
        <f>'Scope guidance'!$D$32</f>
        <v>Operational Control Boundary</v>
      </c>
      <c r="D16" s="146" t="s">
        <v>49</v>
      </c>
      <c r="E16" s="146" t="s">
        <v>506</v>
      </c>
      <c r="F16" s="146" t="s">
        <v>477</v>
      </c>
      <c r="G16" s="146" t="s">
        <v>25</v>
      </c>
      <c r="H16" s="146">
        <f>IF('Scope 1'!C45="Litres",0,'Scope 1'!E45)</f>
        <v>0</v>
      </c>
      <c r="I16" s="146">
        <f>IF('Scope 1'!C45="Litres",0,'Scope 1'!F45)</f>
        <v>0.24068000000000001</v>
      </c>
      <c r="J16" s="146">
        <f>IF(OR('Scope 1'!C45="Litres",'Scope 1'!G45="Enter Consumption Figure"),0,'Scope 1'!G45)</f>
        <v>0</v>
      </c>
    </row>
    <row r="17" spans="1:10" x14ac:dyDescent="0.2">
      <c r="A17" s="146">
        <f>Overview!$C$21</f>
        <v>0</v>
      </c>
      <c r="B17" s="146" t="str">
        <f>Overview!$C$15</f>
        <v>2019-20</v>
      </c>
      <c r="C17" s="146" t="str">
        <f>'Scope guidance'!$D$32</f>
        <v>Operational Control Boundary</v>
      </c>
      <c r="D17" s="146" t="s">
        <v>49</v>
      </c>
      <c r="E17" s="146" t="s">
        <v>506</v>
      </c>
      <c r="F17" s="146" t="s">
        <v>12</v>
      </c>
      <c r="G17" s="146" t="s">
        <v>25</v>
      </c>
      <c r="H17" s="146">
        <f>IF('Scope 1'!C46="Litres",0,'Scope 1'!E46)</f>
        <v>0</v>
      </c>
      <c r="I17" s="146">
        <f>IF('Scope 1'!C46="Litres",0,'Scope 1'!F46)</f>
        <v>0.31309999999999999</v>
      </c>
      <c r="J17" s="146">
        <f>IF(OR('Scope 1'!C46="Litres",'Scope 1'!G46="Enter Consumption Figure"),0,'Scope 1'!G46)</f>
        <v>0</v>
      </c>
    </row>
    <row r="18" spans="1:10" x14ac:dyDescent="0.2">
      <c r="A18" s="146">
        <f>Overview!$C$21</f>
        <v>0</v>
      </c>
      <c r="B18" s="146" t="str">
        <f>Overview!$C$15</f>
        <v>2019-20</v>
      </c>
      <c r="C18" s="146" t="str">
        <f>'Scope guidance'!$D$32</f>
        <v>Operational Control Boundary</v>
      </c>
      <c r="D18" s="146" t="s">
        <v>49</v>
      </c>
      <c r="E18" s="146" t="s">
        <v>506</v>
      </c>
      <c r="F18" s="146" t="s">
        <v>13</v>
      </c>
      <c r="G18" s="146" t="s">
        <v>25</v>
      </c>
      <c r="H18" s="146">
        <f>IF('Scope 1'!C47="Litres",0,'Scope 1'!E47)</f>
        <v>0</v>
      </c>
      <c r="I18" s="146">
        <f>IF('Scope 1'!C47="Litres",0,'Scope 1'!F47)</f>
        <v>0.44702999999999998</v>
      </c>
      <c r="J18" s="146">
        <f>IF(OR('Scope 1'!C47="Litres",'Scope 1'!G47="Enter Consumption Figure"),0,'Scope 1'!G47)</f>
        <v>0</v>
      </c>
    </row>
    <row r="19" spans="1:10" x14ac:dyDescent="0.2">
      <c r="A19" s="146">
        <f>Overview!$C$21</f>
        <v>0</v>
      </c>
      <c r="B19" s="146" t="str">
        <f>Overview!$C$15</f>
        <v>2019-20</v>
      </c>
      <c r="C19" s="146" t="str">
        <f>'Scope guidance'!$D$32</f>
        <v>Operational Control Boundary</v>
      </c>
      <c r="D19" s="146" t="s">
        <v>49</v>
      </c>
      <c r="E19" s="146" t="s">
        <v>506</v>
      </c>
      <c r="F19" s="146" t="s">
        <v>14</v>
      </c>
      <c r="G19" s="146" t="s">
        <v>25</v>
      </c>
      <c r="H19" s="146">
        <f>IF('Scope 1'!C48="Litres",0,'Scope 1'!E48)</f>
        <v>0</v>
      </c>
      <c r="I19" s="146">
        <f>IF('Scope 1'!C48="Litres",0,'Scope 1'!F48)</f>
        <v>0.32601999999999998</v>
      </c>
      <c r="J19" s="146">
        <f>IF(OR('Scope 1'!C48="Litres",'Scope 1'!G48="Enter Consumption Figure"),0,'Scope 1'!G48)</f>
        <v>0</v>
      </c>
    </row>
    <row r="20" spans="1:10" x14ac:dyDescent="0.2">
      <c r="A20" s="146">
        <f>Overview!$C$21</f>
        <v>0</v>
      </c>
      <c r="B20" s="146" t="str">
        <f>Overview!$C$15</f>
        <v>2019-20</v>
      </c>
      <c r="C20" s="146" t="str">
        <f>'Scope guidance'!$D$32</f>
        <v>Operational Control Boundary</v>
      </c>
      <c r="D20" s="146" t="s">
        <v>49</v>
      </c>
      <c r="E20" s="146" t="s">
        <v>506</v>
      </c>
      <c r="F20" s="146" t="s">
        <v>516</v>
      </c>
      <c r="G20" s="146" t="s">
        <v>25</v>
      </c>
      <c r="H20" s="146">
        <f>IF('Scope 1'!C49="Litres",0,'Scope 1'!E49)</f>
        <v>0</v>
      </c>
      <c r="I20" s="146">
        <f>IF('Scope 1'!C49="Litres",0,'Scope 1'!F49)</f>
        <v>0.29132999999999998</v>
      </c>
      <c r="J20" s="146">
        <f>IF(OR('Scope 1'!C49="Litres",'Scope 1'!G49="Enter Consumption Figure"),0,'Scope 1'!G49)</f>
        <v>0</v>
      </c>
    </row>
    <row r="21" spans="1:10" x14ac:dyDescent="0.2">
      <c r="A21" s="146">
        <f>Overview!$C$21</f>
        <v>0</v>
      </c>
      <c r="B21" s="146" t="str">
        <f>Overview!$C$15</f>
        <v>2019-20</v>
      </c>
      <c r="C21" s="146" t="str">
        <f>'Scope guidance'!$D$32</f>
        <v>Operational Control Boundary</v>
      </c>
      <c r="D21" s="146" t="s">
        <v>49</v>
      </c>
      <c r="E21" s="146" t="s">
        <v>506</v>
      </c>
      <c r="F21" s="146" t="s">
        <v>517</v>
      </c>
      <c r="G21" s="146" t="s">
        <v>25</v>
      </c>
      <c r="H21" s="146">
        <f>IF('Scope 1'!C50="Litres",0,'Scope 1'!E50)</f>
        <v>0</v>
      </c>
      <c r="I21" s="146">
        <f>IF('Scope 1'!C50="Litres",0,'Scope 1'!F50)</f>
        <v>0.24736</v>
      </c>
      <c r="J21" s="146">
        <f>IF(OR('Scope 1'!C50="Litres",'Scope 1'!G50="Enter Consumption Figure"),0,'Scope 1'!G50)</f>
        <v>0</v>
      </c>
    </row>
    <row r="22" spans="1:10" x14ac:dyDescent="0.2">
      <c r="A22" s="146">
        <f>Overview!$C$21</f>
        <v>0</v>
      </c>
      <c r="B22" s="146" t="str">
        <f>Overview!$C$15</f>
        <v>2019-20</v>
      </c>
      <c r="C22" s="146" t="str">
        <f>'Scope guidance'!$D$32</f>
        <v>Operational Control Boundary</v>
      </c>
      <c r="D22" s="146" t="s">
        <v>49</v>
      </c>
      <c r="E22" s="146" t="s">
        <v>506</v>
      </c>
      <c r="F22" s="146" t="s">
        <v>521</v>
      </c>
      <c r="G22" s="146" t="s">
        <v>25</v>
      </c>
      <c r="H22" s="146">
        <f>IF('Scope 1'!C51="Litres",0,'Scope 1'!E51)</f>
        <v>0</v>
      </c>
      <c r="I22" s="146">
        <f>IF('Scope 1'!C51="Litres",0,'Scope 1'!F51)</f>
        <v>0.30945</v>
      </c>
      <c r="J22" s="146">
        <f>IF(OR('Scope 1'!C51="Litres",'Scope 1'!G51="Enter Consumption Figure"),0,'Scope 1'!G51)</f>
        <v>0</v>
      </c>
    </row>
    <row r="23" spans="1:10" x14ac:dyDescent="0.2">
      <c r="A23" s="146">
        <f>Overview!$C$21</f>
        <v>0</v>
      </c>
      <c r="B23" s="146" t="str">
        <f>Overview!$C$15</f>
        <v>2019-20</v>
      </c>
      <c r="C23" s="146" t="str">
        <f>'Scope guidance'!$D$32</f>
        <v>Operational Control Boundary</v>
      </c>
      <c r="D23" s="146" t="s">
        <v>49</v>
      </c>
      <c r="E23" s="146" t="s">
        <v>506</v>
      </c>
      <c r="F23" s="146" t="s">
        <v>522</v>
      </c>
      <c r="G23" s="146" t="s">
        <v>25</v>
      </c>
      <c r="H23" s="146">
        <f>IF('Scope 1'!C52="Litres",0,'Scope 1'!E52)</f>
        <v>0</v>
      </c>
      <c r="I23" s="146">
        <f>IF('Scope 1'!C52="Litres",0,'Scope 1'!F52)</f>
        <v>0.45535999999999999</v>
      </c>
      <c r="J23" s="146">
        <f>IF(OR('Scope 1'!C52="Litres",'Scope 1'!G52="Enter Consumption Figure"),0,'Scope 1'!G52)</f>
        <v>0</v>
      </c>
    </row>
    <row r="24" spans="1:10" x14ac:dyDescent="0.2">
      <c r="A24" s="146">
        <f>Overview!$C$21</f>
        <v>0</v>
      </c>
      <c r="B24" s="146" t="str">
        <f>Overview!$C$15</f>
        <v>2019-20</v>
      </c>
      <c r="C24" s="146" t="str">
        <f>'Scope guidance'!$D$32</f>
        <v>Operational Control Boundary</v>
      </c>
      <c r="D24" s="146" t="s">
        <v>49</v>
      </c>
      <c r="E24" s="146" t="s">
        <v>506</v>
      </c>
      <c r="F24" s="146" t="s">
        <v>518</v>
      </c>
      <c r="G24" s="146" t="s">
        <v>25</v>
      </c>
      <c r="H24" s="146">
        <f>IF('Scope 1'!C53="Litres",0,'Scope 1'!E53)</f>
        <v>0</v>
      </c>
      <c r="I24" s="146">
        <f>IF('Scope 1'!C53="Litres",0,'Scope 1'!F53)</f>
        <v>0.16930000000000001</v>
      </c>
      <c r="J24" s="146">
        <f>IF(OR('Scope 1'!C53="Litres",'Scope 1'!G53="Enter Consumption Figure"),0,'Scope 1'!G53)</f>
        <v>0</v>
      </c>
    </row>
    <row r="25" spans="1:10" x14ac:dyDescent="0.2">
      <c r="A25" s="146">
        <f>Overview!$C$21</f>
        <v>0</v>
      </c>
      <c r="B25" s="146" t="str">
        <f>Overview!$C$15</f>
        <v>2019-20</v>
      </c>
      <c r="C25" s="146" t="str">
        <f>'Scope guidance'!$D$32</f>
        <v>Operational Control Boundary</v>
      </c>
      <c r="D25" s="146" t="s">
        <v>49</v>
      </c>
      <c r="E25" s="146" t="s">
        <v>506</v>
      </c>
      <c r="F25" s="146" t="s">
        <v>544</v>
      </c>
      <c r="G25" s="146" t="s">
        <v>25</v>
      </c>
      <c r="H25" s="146">
        <f>IF('Scope 1'!C54="Litres",0,'Scope 1'!E54)</f>
        <v>0</v>
      </c>
      <c r="I25" s="146">
        <f>IF('Scope 1'!C54="Litres",0,'Scope 1'!F54)</f>
        <v>0.17534</v>
      </c>
      <c r="J25" s="146">
        <f>IF(OR('Scope 1'!C54="Litres",'Scope 1'!G54="Enter Consumption Figure"),0,'Scope 1'!G54)</f>
        <v>0</v>
      </c>
    </row>
    <row r="26" spans="1:10" x14ac:dyDescent="0.2">
      <c r="A26" s="146">
        <f>Overview!$C$21</f>
        <v>0</v>
      </c>
      <c r="B26" s="146" t="str">
        <f>Overview!$C$15</f>
        <v>2019-20</v>
      </c>
      <c r="C26" s="146" t="str">
        <f>'Scope guidance'!$D$32</f>
        <v>Operational Control Boundary</v>
      </c>
      <c r="D26" s="146" t="s">
        <v>49</v>
      </c>
      <c r="E26" s="146" t="s">
        <v>506</v>
      </c>
      <c r="F26" s="146" t="s">
        <v>545</v>
      </c>
      <c r="G26" s="146" t="s">
        <v>25</v>
      </c>
      <c r="H26" s="146">
        <f>IF('Scope 1'!C55="Litres",0,'Scope 1'!E55)</f>
        <v>0</v>
      </c>
      <c r="I26" s="146">
        <f>IF('Scope 1'!C55="Litres",0,'Scope 1'!F55)</f>
        <v>0.21207000000000001</v>
      </c>
      <c r="J26" s="146">
        <f>IF(OR('Scope 1'!C55="Litres",'Scope 1'!G55="Enter Consumption Figure"),0,'Scope 1'!G55)</f>
        <v>0</v>
      </c>
    </row>
    <row r="27" spans="1:10" x14ac:dyDescent="0.2">
      <c r="A27" s="146">
        <f>Overview!$C$21</f>
        <v>0</v>
      </c>
      <c r="B27" s="146" t="str">
        <f>Overview!$C$15</f>
        <v>2019-20</v>
      </c>
      <c r="C27" s="146" t="str">
        <f>'Scope guidance'!$D$32</f>
        <v>Operational Control Boundary</v>
      </c>
      <c r="D27" s="146" t="s">
        <v>49</v>
      </c>
      <c r="E27" s="146" t="s">
        <v>506</v>
      </c>
      <c r="F27" s="146" t="s">
        <v>542</v>
      </c>
      <c r="G27" s="146" t="s">
        <v>25</v>
      </c>
      <c r="H27" s="146">
        <f>'Scope 1'!E56</f>
        <v>0</v>
      </c>
      <c r="I27" s="146">
        <f>'Scope 1'!F56</f>
        <v>8.931E-2</v>
      </c>
      <c r="J27" s="146">
        <f>IF('Scope 1'!G56="Enter Consumption Figure",0,'Scope 1'!G56)</f>
        <v>0</v>
      </c>
    </row>
    <row r="28" spans="1:10" x14ac:dyDescent="0.2">
      <c r="A28" s="146">
        <f>Overview!$C$21</f>
        <v>0</v>
      </c>
      <c r="B28" s="146" t="str">
        <f>Overview!$C$15</f>
        <v>2019-20</v>
      </c>
      <c r="C28" s="146" t="str">
        <f>'Scope guidance'!$D$32</f>
        <v>Operational Control Boundary</v>
      </c>
      <c r="D28" s="146" t="s">
        <v>49</v>
      </c>
      <c r="E28" s="146" t="s">
        <v>506</v>
      </c>
      <c r="F28" s="146" t="s">
        <v>543</v>
      </c>
      <c r="G28" s="146" t="s">
        <v>25</v>
      </c>
      <c r="H28" s="146">
        <f>'Scope 1'!E57</f>
        <v>0</v>
      </c>
      <c r="I28" s="146">
        <f>'Scope 1'!F57</f>
        <v>0.28502</v>
      </c>
      <c r="J28" s="146">
        <f>IF('Scope 1'!G57="Enter Consumption Figure",0,'Scope 1'!G57)</f>
        <v>0</v>
      </c>
    </row>
    <row r="29" spans="1:10" x14ac:dyDescent="0.2">
      <c r="A29" s="146">
        <f>Overview!$C$21</f>
        <v>0</v>
      </c>
      <c r="B29" s="146" t="str">
        <f>Overview!$C$15</f>
        <v>2019-20</v>
      </c>
      <c r="C29" s="146" t="str">
        <f>'Scope guidance'!$D$32</f>
        <v>Operational Control Boundary</v>
      </c>
      <c r="D29" s="146" t="s">
        <v>49</v>
      </c>
      <c r="E29" s="146" t="s">
        <v>506</v>
      </c>
      <c r="F29" s="146" t="s">
        <v>537</v>
      </c>
      <c r="G29" s="146" t="s">
        <v>25</v>
      </c>
      <c r="H29" s="146">
        <f>IF('Scope 1'!C58="Litres",0,'Scope 1'!E58)</f>
        <v>0</v>
      </c>
      <c r="I29" s="146">
        <f>IF('Scope 1'!C58="Litres",0,'Scope 1'!F58)</f>
        <v>0.78924000000000005</v>
      </c>
      <c r="J29" s="146">
        <f>IF(OR('Scope 1'!C58="Litres",'Scope 1'!G58="Enter Consumption Figure"),0,'Scope 1'!G58)</f>
        <v>0</v>
      </c>
    </row>
    <row r="30" spans="1:10" x14ac:dyDescent="0.2">
      <c r="A30" s="146">
        <f>Overview!$C$21</f>
        <v>0</v>
      </c>
      <c r="B30" s="146" t="str">
        <f>Overview!$C$15</f>
        <v>2019-20</v>
      </c>
      <c r="C30" s="146" t="str">
        <f>'Scope guidance'!$D$32</f>
        <v>Operational Control Boundary</v>
      </c>
      <c r="D30" s="146" t="s">
        <v>49</v>
      </c>
      <c r="E30" s="146" t="s">
        <v>506</v>
      </c>
      <c r="F30" s="146" t="s">
        <v>528</v>
      </c>
      <c r="G30" s="146" t="s">
        <v>25</v>
      </c>
      <c r="H30" s="146">
        <f>IF('Scope 1'!C59="Litres",0,'Scope 1'!E59)</f>
        <v>0</v>
      </c>
      <c r="I30" s="146">
        <f>IF('Scope 1'!C59="Litres",0,'Scope 1'!F59)</f>
        <v>0.96384999999999998</v>
      </c>
      <c r="J30" s="146">
        <f>IF(OR('Scope 1'!C59="Litres",'Scope 1'!G59="Enter Consumption Figure"),0,'Scope 1'!G59)</f>
        <v>0</v>
      </c>
    </row>
    <row r="31" spans="1:10" x14ac:dyDescent="0.2">
      <c r="A31" s="146">
        <f>Overview!$C$21</f>
        <v>0</v>
      </c>
      <c r="B31" s="146" t="str">
        <f>Overview!$C$15</f>
        <v>2019-20</v>
      </c>
      <c r="C31" s="146" t="str">
        <f>'Scope guidance'!$D$32</f>
        <v>Operational Control Boundary</v>
      </c>
      <c r="D31" s="146" t="s">
        <v>49</v>
      </c>
      <c r="E31" s="146" t="s">
        <v>506</v>
      </c>
      <c r="F31" s="146" t="s">
        <v>529</v>
      </c>
      <c r="G31" s="146" t="s">
        <v>25</v>
      </c>
      <c r="H31" s="146">
        <f>IF('Scope 1'!C60="Litres",0,'Scope 1'!E60)</f>
        <v>0</v>
      </c>
      <c r="I31" s="146">
        <f>IF('Scope 1'!C60="Litres",0,'Scope 1'!F60)</f>
        <v>1.58108</v>
      </c>
      <c r="J31" s="146">
        <f>IF(OR('Scope 1'!C60="Litres",'Scope 1'!G60="Enter Consumption Figure"),0,'Scope 1'!G60)</f>
        <v>0</v>
      </c>
    </row>
    <row r="32" spans="1:10" x14ac:dyDescent="0.2">
      <c r="A32" s="146">
        <f>Overview!$C$21</f>
        <v>0</v>
      </c>
      <c r="B32" s="146" t="str">
        <f>Overview!$C$15</f>
        <v>2019-20</v>
      </c>
      <c r="C32" s="146" t="str">
        <f>'Scope guidance'!$D$32</f>
        <v>Operational Control Boundary</v>
      </c>
      <c r="D32" s="146" t="s">
        <v>49</v>
      </c>
      <c r="E32" s="146" t="s">
        <v>506</v>
      </c>
      <c r="F32" s="146" t="s">
        <v>534</v>
      </c>
      <c r="G32" s="146" t="s">
        <v>25</v>
      </c>
      <c r="H32" s="146">
        <f>IF('Scope 1'!C61="Litres",0,'Scope 1'!E61)</f>
        <v>0</v>
      </c>
      <c r="I32" s="146">
        <f>IF('Scope 1'!C61="Litres",0,'Scope 1'!F61)</f>
        <v>1.3175300000000001</v>
      </c>
      <c r="J32" s="146">
        <f>IF(OR('Scope 1'!C61="Litres",'Scope 1'!G61="Enter Consumption Figure"),0,'Scope 1'!G61)</f>
        <v>0</v>
      </c>
    </row>
    <row r="33" spans="1:10" x14ac:dyDescent="0.2">
      <c r="A33" s="146">
        <f>Overview!$C$21</f>
        <v>0</v>
      </c>
      <c r="B33" s="146" t="str">
        <f>Overview!$C$15</f>
        <v>2019-20</v>
      </c>
      <c r="C33" s="146" t="str">
        <f>'Scope guidance'!$D$32</f>
        <v>Operational Control Boundary</v>
      </c>
      <c r="D33" s="146" t="s">
        <v>49</v>
      </c>
      <c r="E33" s="146" t="s">
        <v>506</v>
      </c>
      <c r="F33" s="146" t="s">
        <v>530</v>
      </c>
      <c r="G33" s="146" t="s">
        <v>25</v>
      </c>
      <c r="H33" s="146">
        <f>IF('Scope 1'!C62="Litres",0,'Scope 1'!E62)</f>
        <v>0</v>
      </c>
      <c r="I33" s="146">
        <f>IF('Scope 1'!C62="Litres",0,'Scope 1'!F62)</f>
        <v>1.2664</v>
      </c>
      <c r="J33" s="146">
        <f>IF(OR('Scope 1'!C62="Litres",'Scope 1'!G62="Enter Consumption Figure"),0,'Scope 1'!G62)</f>
        <v>0</v>
      </c>
    </row>
    <row r="34" spans="1:10" x14ac:dyDescent="0.2">
      <c r="A34" s="146">
        <f>Overview!$C$21</f>
        <v>0</v>
      </c>
      <c r="B34" s="146" t="str">
        <f>Overview!$C$15</f>
        <v>2019-20</v>
      </c>
      <c r="C34" s="146" t="str">
        <f>'Scope guidance'!$D$32</f>
        <v>Operational Control Boundary</v>
      </c>
      <c r="D34" s="146" t="s">
        <v>49</v>
      </c>
      <c r="E34" s="146" t="s">
        <v>506</v>
      </c>
      <c r="F34" s="146" t="s">
        <v>531</v>
      </c>
      <c r="G34" s="146" t="s">
        <v>25</v>
      </c>
      <c r="H34" s="146">
        <f>IF('Scope 1'!C63="Litres",0,'Scope 1'!E63)</f>
        <v>0</v>
      </c>
      <c r="I34" s="146">
        <f>IF('Scope 1'!C63="Litres",0,'Scope 1'!F63)</f>
        <v>1.50786</v>
      </c>
      <c r="J34" s="146">
        <f>IF(OR('Scope 1'!C63="Litres",'Scope 1'!G63="Enter Consumption Figure"),0,'Scope 1'!G63)</f>
        <v>0</v>
      </c>
    </row>
    <row r="35" spans="1:10" x14ac:dyDescent="0.2">
      <c r="A35" s="146">
        <f>Overview!$C$21</f>
        <v>0</v>
      </c>
      <c r="B35" s="146" t="str">
        <f>Overview!$C$15</f>
        <v>2019-20</v>
      </c>
      <c r="C35" s="146" t="str">
        <f>'Scope guidance'!$D$32</f>
        <v>Operational Control Boundary</v>
      </c>
      <c r="D35" s="146" t="s">
        <v>49</v>
      </c>
      <c r="E35" s="146" t="s">
        <v>506</v>
      </c>
      <c r="F35" s="146" t="s">
        <v>533</v>
      </c>
      <c r="G35" s="146" t="s">
        <v>25</v>
      </c>
      <c r="H35" s="146">
        <f>IF('Scope 1'!C64="Litres",0,'Scope 1'!E64)</f>
        <v>0</v>
      </c>
      <c r="I35" s="146">
        <f>IF('Scope 1'!C64="Litres",0,'Scope 1'!F64)</f>
        <v>1.4932799999999999</v>
      </c>
      <c r="J35" s="146">
        <f>IF(OR('Scope 1'!C64="Litres",'Scope 1'!G64="Enter Consumption Figure"),0,'Scope 1'!G64)</f>
        <v>0</v>
      </c>
    </row>
    <row r="36" spans="1:10" x14ac:dyDescent="0.2">
      <c r="A36" s="146">
        <f>Overview!$C$21</f>
        <v>0</v>
      </c>
      <c r="B36" s="146" t="str">
        <f>Overview!$C$15</f>
        <v>2019-20</v>
      </c>
      <c r="C36" s="146" t="str">
        <f>'Scope guidance'!$D$32</f>
        <v>Operational Control Boundary</v>
      </c>
      <c r="D36" s="146" t="s">
        <v>49</v>
      </c>
      <c r="E36" s="146" t="s">
        <v>506</v>
      </c>
      <c r="F36" s="146" t="s">
        <v>532</v>
      </c>
      <c r="G36" s="146" t="s">
        <v>25</v>
      </c>
      <c r="H36" s="146">
        <f>IF('Scope 1'!C65="Litres",0,'Scope 1'!E65)</f>
        <v>0</v>
      </c>
      <c r="I36" s="146">
        <f>IF('Scope 1'!C65="Litres",0,'Scope 1'!F65)</f>
        <v>1.41662</v>
      </c>
      <c r="J36" s="146">
        <f>IF(OR('Scope 1'!C65="Litres",'Scope 1'!G65="Enter Consumption Figure"),0,'Scope 1'!G65)</f>
        <v>0</v>
      </c>
    </row>
    <row r="37" spans="1:10" x14ac:dyDescent="0.2">
      <c r="A37" s="146">
        <f>Overview!$C$21</f>
        <v>0</v>
      </c>
      <c r="B37" s="146" t="str">
        <f>Overview!$C$15</f>
        <v>2019-20</v>
      </c>
      <c r="C37" s="146" t="str">
        <f>'Scope guidance'!$D$32</f>
        <v>Operational Control Boundary</v>
      </c>
      <c r="D37" s="146" t="s">
        <v>49</v>
      </c>
      <c r="E37" s="146" t="s">
        <v>506</v>
      </c>
      <c r="F37" s="146" t="s">
        <v>536</v>
      </c>
      <c r="G37" s="146" t="s">
        <v>524</v>
      </c>
      <c r="H37" s="146">
        <f>'Scope 1'!E66</f>
        <v>75659.570000000007</v>
      </c>
      <c r="I37" s="146">
        <f>'Scope 1'!F66</f>
        <v>2.5941100000000001</v>
      </c>
      <c r="J37" s="146">
        <f>IF('Scope 1'!G66="Enter Consumption Figure",0,'Scope 1'!G66)</f>
        <v>196.26924713270003</v>
      </c>
    </row>
    <row r="38" spans="1:10" x14ac:dyDescent="0.2">
      <c r="A38" s="146">
        <f>Overview!$C$21</f>
        <v>0</v>
      </c>
      <c r="B38" s="146" t="str">
        <f>Overview!$C$15</f>
        <v>2019-20</v>
      </c>
      <c r="C38" s="146" t="str">
        <f>'Scope guidance'!$D$32</f>
        <v>Operational Control Boundary</v>
      </c>
      <c r="D38" s="146" t="s">
        <v>49</v>
      </c>
      <c r="E38" s="146" t="s">
        <v>506</v>
      </c>
      <c r="F38" s="146" t="s">
        <v>535</v>
      </c>
      <c r="G38" s="146" t="s">
        <v>524</v>
      </c>
      <c r="H38" s="146">
        <f>'Scope 1'!E67</f>
        <v>33316.65</v>
      </c>
      <c r="I38" s="146">
        <f>'Scope 1'!F67</f>
        <v>2.2090399999999999</v>
      </c>
      <c r="J38" s="146">
        <f>IF('Scope 1'!G67="Enter Consumption Figure",0,'Scope 1'!G67)</f>
        <v>73.597812516000005</v>
      </c>
    </row>
    <row r="39" spans="1:10" x14ac:dyDescent="0.2">
      <c r="A39" s="146">
        <f>Overview!$C$21</f>
        <v>0</v>
      </c>
      <c r="B39" s="146" t="str">
        <f>Overview!$C$15</f>
        <v>2019-20</v>
      </c>
      <c r="C39" s="146" t="str">
        <f>'Scope guidance'!$D$32</f>
        <v>Operational Control Boundary</v>
      </c>
      <c r="D39" s="146" t="s">
        <v>49</v>
      </c>
      <c r="E39" s="146" t="s">
        <v>506</v>
      </c>
      <c r="F39" s="146" t="s">
        <v>472</v>
      </c>
      <c r="G39" s="146" t="s">
        <v>524</v>
      </c>
      <c r="H39" s="146">
        <f>IF('Scope 1'!C41="Miles",0,'Scope 1'!E41)</f>
        <v>0</v>
      </c>
      <c r="I39" s="146">
        <f>IF('Scope 1'!C41="Miles",0,'Scope 1'!F41)</f>
        <v>0</v>
      </c>
      <c r="J39" s="146">
        <f>IF(OR('Scope 1'!C41="Miles",'Scope 1'!G41="Enter Consumption Figure"),0,'Scope 1'!G41)</f>
        <v>0</v>
      </c>
    </row>
    <row r="40" spans="1:10" x14ac:dyDescent="0.2">
      <c r="A40" s="146">
        <f>Overview!$C$21</f>
        <v>0</v>
      </c>
      <c r="B40" s="146" t="str">
        <f>Overview!$C$15</f>
        <v>2019-20</v>
      </c>
      <c r="C40" s="146" t="str">
        <f>'Scope guidance'!$D$32</f>
        <v>Operational Control Boundary</v>
      </c>
      <c r="D40" s="146" t="s">
        <v>49</v>
      </c>
      <c r="E40" s="146" t="s">
        <v>506</v>
      </c>
      <c r="F40" s="146" t="s">
        <v>476</v>
      </c>
      <c r="G40" s="146" t="s">
        <v>524</v>
      </c>
      <c r="H40" s="146">
        <f>IF('Scope 1'!C42="Miles",0,'Scope 1'!E42)</f>
        <v>0</v>
      </c>
      <c r="I40" s="146">
        <f>IF('Scope 1'!C42="Miles",0,'Scope 1'!F42)</f>
        <v>0</v>
      </c>
      <c r="J40" s="146">
        <f>IF(OR('Scope 1'!C42="Miles",'Scope 1'!G42="Enter Consumption Figure"),0,'Scope 1'!G42)</f>
        <v>0</v>
      </c>
    </row>
    <row r="41" spans="1:10" x14ac:dyDescent="0.2">
      <c r="A41" s="146">
        <f>Overview!$C$21</f>
        <v>0</v>
      </c>
      <c r="B41" s="146" t="str">
        <f>Overview!$C$15</f>
        <v>2019-20</v>
      </c>
      <c r="C41" s="146" t="str">
        <f>'Scope guidance'!$D$32</f>
        <v>Operational Control Boundary</v>
      </c>
      <c r="D41" s="146" t="s">
        <v>49</v>
      </c>
      <c r="E41" s="146" t="s">
        <v>506</v>
      </c>
      <c r="F41" s="146" t="s">
        <v>519</v>
      </c>
      <c r="G41" s="146" t="s">
        <v>524</v>
      </c>
      <c r="H41" s="146">
        <f>IF('Scope 1'!C43="Miles",0,'Scope 1'!E43)</f>
        <v>0</v>
      </c>
      <c r="I41" s="146">
        <f>IF('Scope 1'!C43="Miles",0,'Scope 1'!F43)</f>
        <v>0</v>
      </c>
      <c r="J41" s="146">
        <f>IF(OR('Scope 1'!C43="Miles",'Scope 1'!G43="Enter Consumption Figure"),0,'Scope 1'!G43)</f>
        <v>0</v>
      </c>
    </row>
    <row r="42" spans="1:10" x14ac:dyDescent="0.2">
      <c r="A42" s="146">
        <f>Overview!$C$21</f>
        <v>0</v>
      </c>
      <c r="B42" s="146" t="str">
        <f>Overview!$C$15</f>
        <v>2019-20</v>
      </c>
      <c r="C42" s="146" t="str">
        <f>'Scope guidance'!$D$32</f>
        <v>Operational Control Boundary</v>
      </c>
      <c r="D42" s="146" t="s">
        <v>49</v>
      </c>
      <c r="E42" s="146" t="s">
        <v>506</v>
      </c>
      <c r="F42" s="146" t="s">
        <v>515</v>
      </c>
      <c r="G42" s="146" t="s">
        <v>524</v>
      </c>
      <c r="H42" s="146">
        <f>IF('Scope 1'!C44="Miles",0,'Scope 1'!E44)</f>
        <v>0</v>
      </c>
      <c r="I42" s="146">
        <f>IF('Scope 1'!C44="Miles",0,'Scope 1'!F44)</f>
        <v>0</v>
      </c>
      <c r="J42" s="146">
        <f>IF(OR('Scope 1'!C44="Miles",'Scope 1'!G44="Enter Consumption Figure"),0,'Scope 1'!G44)</f>
        <v>0</v>
      </c>
    </row>
    <row r="43" spans="1:10" x14ac:dyDescent="0.2">
      <c r="A43" s="146">
        <f>Overview!$C$21</f>
        <v>0</v>
      </c>
      <c r="B43" s="146" t="str">
        <f>Overview!$C$15</f>
        <v>2019-20</v>
      </c>
      <c r="C43" s="146" t="str">
        <f>'Scope guidance'!$D$32</f>
        <v>Operational Control Boundary</v>
      </c>
      <c r="D43" s="146" t="s">
        <v>49</v>
      </c>
      <c r="E43" s="146" t="s">
        <v>506</v>
      </c>
      <c r="F43" s="146" t="s">
        <v>477</v>
      </c>
      <c r="G43" s="146" t="s">
        <v>524</v>
      </c>
      <c r="H43" s="146">
        <f>IF('Scope 1'!C45="Miles",0,'Scope 1'!E45)</f>
        <v>0</v>
      </c>
      <c r="I43" s="146">
        <f>IF('Scope 1'!C45="Miles",0,'Scope 1'!F45)</f>
        <v>0</v>
      </c>
      <c r="J43" s="146">
        <f>IF(OR('Scope 1'!C45="Miles",'Scope 1'!G45="Enter Consumption Figure"),0,'Scope 1'!G45)</f>
        <v>0</v>
      </c>
    </row>
    <row r="44" spans="1:10" x14ac:dyDescent="0.2">
      <c r="A44" s="146">
        <f>Overview!$C$21</f>
        <v>0</v>
      </c>
      <c r="B44" s="146" t="str">
        <f>Overview!$C$15</f>
        <v>2019-20</v>
      </c>
      <c r="C44" s="146" t="str">
        <f>'Scope guidance'!$D$32</f>
        <v>Operational Control Boundary</v>
      </c>
      <c r="D44" s="146" t="s">
        <v>49</v>
      </c>
      <c r="E44" s="146" t="s">
        <v>506</v>
      </c>
      <c r="F44" s="146" t="s">
        <v>12</v>
      </c>
      <c r="G44" s="146" t="s">
        <v>524</v>
      </c>
      <c r="H44" s="146">
        <f>IF('Scope 1'!C46="Miles",0,'Scope 1'!E46)</f>
        <v>0</v>
      </c>
      <c r="I44" s="146">
        <f>IF('Scope 1'!C46="Miles",0,'Scope 1'!F46)</f>
        <v>0</v>
      </c>
      <c r="J44" s="146">
        <f>IF(OR('Scope 1'!C46="Miles",'Scope 1'!G46="Enter Consumption Figure"),0,'Scope 1'!G46)</f>
        <v>0</v>
      </c>
    </row>
    <row r="45" spans="1:10" x14ac:dyDescent="0.2">
      <c r="A45" s="146">
        <f>Overview!$C$21</f>
        <v>0</v>
      </c>
      <c r="B45" s="146" t="str">
        <f>Overview!$C$15</f>
        <v>2019-20</v>
      </c>
      <c r="C45" s="146" t="str">
        <f>'Scope guidance'!$D$32</f>
        <v>Operational Control Boundary</v>
      </c>
      <c r="D45" s="146" t="s">
        <v>49</v>
      </c>
      <c r="E45" s="146" t="s">
        <v>506</v>
      </c>
      <c r="F45" s="146" t="s">
        <v>13</v>
      </c>
      <c r="G45" s="146" t="s">
        <v>524</v>
      </c>
      <c r="H45" s="146">
        <f>IF('Scope 1'!C47="Miles",0,'Scope 1'!E47)</f>
        <v>0</v>
      </c>
      <c r="I45" s="146">
        <f>IF('Scope 1'!C47="Miles",0,'Scope 1'!F47)</f>
        <v>0</v>
      </c>
      <c r="J45" s="146">
        <f>IF(OR('Scope 1'!C47="Miles",'Scope 1'!G47="Enter Consumption Figure"),0,'Scope 1'!G47)</f>
        <v>0</v>
      </c>
    </row>
    <row r="46" spans="1:10" x14ac:dyDescent="0.2">
      <c r="A46" s="146">
        <f>Overview!$C$21</f>
        <v>0</v>
      </c>
      <c r="B46" s="146" t="str">
        <f>Overview!$C$15</f>
        <v>2019-20</v>
      </c>
      <c r="C46" s="146" t="str">
        <f>'Scope guidance'!$D$32</f>
        <v>Operational Control Boundary</v>
      </c>
      <c r="D46" s="146" t="s">
        <v>49</v>
      </c>
      <c r="E46" s="146" t="s">
        <v>506</v>
      </c>
      <c r="F46" s="146" t="s">
        <v>14</v>
      </c>
      <c r="G46" s="146" t="s">
        <v>524</v>
      </c>
      <c r="H46" s="146">
        <f>IF('Scope 1'!C48="Miles",0,'Scope 1'!E48)</f>
        <v>0</v>
      </c>
      <c r="I46" s="146">
        <f>IF('Scope 1'!C48="Miles",0,'Scope 1'!F48)</f>
        <v>0</v>
      </c>
      <c r="J46" s="146">
        <f>IF(OR('Scope 1'!C48="Miles",'Scope 1'!G48="Enter Consumption Figure"),0,'Scope 1'!G48)</f>
        <v>0</v>
      </c>
    </row>
    <row r="47" spans="1:10" x14ac:dyDescent="0.2">
      <c r="A47" s="146">
        <f>Overview!$C$21</f>
        <v>0</v>
      </c>
      <c r="B47" s="146" t="str">
        <f>Overview!$C$15</f>
        <v>2019-20</v>
      </c>
      <c r="C47" s="146" t="str">
        <f>'Scope guidance'!$D$32</f>
        <v>Operational Control Boundary</v>
      </c>
      <c r="D47" s="146" t="s">
        <v>49</v>
      </c>
      <c r="E47" s="146" t="s">
        <v>506</v>
      </c>
      <c r="F47" s="146" t="s">
        <v>516</v>
      </c>
      <c r="G47" s="146" t="s">
        <v>524</v>
      </c>
      <c r="H47" s="146">
        <f>IF('Scope 1'!C49="Miles",0,'Scope 1'!E49)</f>
        <v>0</v>
      </c>
      <c r="I47" s="146">
        <f>IF('Scope 1'!C49="Miles",0,'Scope 1'!F49)</f>
        <v>0</v>
      </c>
      <c r="J47" s="146">
        <f>IF(OR('Scope 1'!C49="Miles",'Scope 1'!G49="Enter Consumption Figure"),0,'Scope 1'!G49)</f>
        <v>0</v>
      </c>
    </row>
    <row r="48" spans="1:10" x14ac:dyDescent="0.2">
      <c r="A48" s="146">
        <f>Overview!$C$21</f>
        <v>0</v>
      </c>
      <c r="B48" s="146" t="str">
        <f>Overview!$C$15</f>
        <v>2019-20</v>
      </c>
      <c r="C48" s="146" t="str">
        <f>'Scope guidance'!$D$32</f>
        <v>Operational Control Boundary</v>
      </c>
      <c r="D48" s="146" t="s">
        <v>49</v>
      </c>
      <c r="E48" s="146" t="s">
        <v>506</v>
      </c>
      <c r="F48" s="146" t="s">
        <v>517</v>
      </c>
      <c r="G48" s="146" t="s">
        <v>524</v>
      </c>
      <c r="H48" s="146">
        <f>IF('Scope 1'!C50="Miles",0,'Scope 1'!E50)</f>
        <v>0</v>
      </c>
      <c r="I48" s="146">
        <f>IF('Scope 1'!C50="Miles",0,'Scope 1'!F50)</f>
        <v>0</v>
      </c>
      <c r="J48" s="146">
        <f>IF(OR('Scope 1'!C50="Miles",'Scope 1'!G50="Enter Consumption Figure"),0,'Scope 1'!G50)</f>
        <v>0</v>
      </c>
    </row>
    <row r="49" spans="1:10" x14ac:dyDescent="0.2">
      <c r="A49" s="146">
        <f>Overview!$C$21</f>
        <v>0</v>
      </c>
      <c r="B49" s="146" t="str">
        <f>Overview!$C$15</f>
        <v>2019-20</v>
      </c>
      <c r="C49" s="146" t="str">
        <f>'Scope guidance'!$D$32</f>
        <v>Operational Control Boundary</v>
      </c>
      <c r="D49" s="146" t="s">
        <v>49</v>
      </c>
      <c r="E49" s="146" t="s">
        <v>506</v>
      </c>
      <c r="F49" s="146" t="s">
        <v>521</v>
      </c>
      <c r="G49" s="146" t="s">
        <v>524</v>
      </c>
      <c r="H49" s="146">
        <f>IF('Scope 1'!C51="Miles",0,'Scope 1'!E51)</f>
        <v>0</v>
      </c>
      <c r="I49" s="146">
        <f>IF('Scope 1'!C51="Miles",0,'Scope 1'!F51)</f>
        <v>0</v>
      </c>
      <c r="J49" s="146">
        <f>IF(OR('Scope 1'!C51="Miles",'Scope 1'!G51="Enter Consumption Figure"),0,'Scope 1'!G51)</f>
        <v>0</v>
      </c>
    </row>
    <row r="50" spans="1:10" x14ac:dyDescent="0.2">
      <c r="A50" s="146">
        <f>Overview!$C$21</f>
        <v>0</v>
      </c>
      <c r="B50" s="146" t="str">
        <f>Overview!$C$15</f>
        <v>2019-20</v>
      </c>
      <c r="C50" s="146" t="str">
        <f>'Scope guidance'!$D$32</f>
        <v>Operational Control Boundary</v>
      </c>
      <c r="D50" s="146" t="s">
        <v>49</v>
      </c>
      <c r="E50" s="146" t="s">
        <v>506</v>
      </c>
      <c r="F50" s="146" t="s">
        <v>522</v>
      </c>
      <c r="G50" s="146" t="s">
        <v>524</v>
      </c>
      <c r="H50" s="146">
        <f>IF('Scope 1'!C52="Miles",0,'Scope 1'!E52)</f>
        <v>0</v>
      </c>
      <c r="I50" s="146">
        <f>IF('Scope 1'!C52="Miles",0,'Scope 1'!F52)</f>
        <v>0</v>
      </c>
      <c r="J50" s="146">
        <f>IF(OR('Scope 1'!C52="Miles",'Scope 1'!G52="Enter Consumption Figure"),0,'Scope 1'!G52)</f>
        <v>0</v>
      </c>
    </row>
    <row r="51" spans="1:10" x14ac:dyDescent="0.2">
      <c r="A51" s="146">
        <f>Overview!$C$21</f>
        <v>0</v>
      </c>
      <c r="B51" s="146" t="str">
        <f>Overview!$C$15</f>
        <v>2019-20</v>
      </c>
      <c r="C51" s="146" t="str">
        <f>'Scope guidance'!$D$32</f>
        <v>Operational Control Boundary</v>
      </c>
      <c r="D51" s="146" t="s">
        <v>49</v>
      </c>
      <c r="E51" s="146" t="s">
        <v>506</v>
      </c>
      <c r="F51" s="146" t="s">
        <v>518</v>
      </c>
      <c r="G51" s="146" t="s">
        <v>524</v>
      </c>
      <c r="H51" s="146">
        <f>IF('Scope 1'!C53="Miles",0,'Scope 1'!E53)</f>
        <v>0</v>
      </c>
      <c r="I51" s="146">
        <f>IF('Scope 1'!C53="Miles",0,'Scope 1'!F53)</f>
        <v>0</v>
      </c>
      <c r="J51" s="146">
        <f>IF(OR('Scope 1'!C53="Miles",'Scope 1'!G53="Enter Consumption Figure"),0,'Scope 1'!G53)</f>
        <v>0</v>
      </c>
    </row>
    <row r="52" spans="1:10" x14ac:dyDescent="0.2">
      <c r="A52" s="146">
        <f>Overview!$C$21</f>
        <v>0</v>
      </c>
      <c r="B52" s="146" t="str">
        <f>Overview!$C$15</f>
        <v>2019-20</v>
      </c>
      <c r="C52" s="146" t="str">
        <f>'Scope guidance'!$D$32</f>
        <v>Operational Control Boundary</v>
      </c>
      <c r="D52" s="146" t="s">
        <v>49</v>
      </c>
      <c r="E52" s="146" t="s">
        <v>506</v>
      </c>
      <c r="F52" s="146" t="s">
        <v>544</v>
      </c>
      <c r="G52" s="146" t="s">
        <v>524</v>
      </c>
      <c r="H52" s="146">
        <f>IF('Scope 1'!C54="Miles",0,'Scope 1'!E54)</f>
        <v>0</v>
      </c>
      <c r="I52" s="146">
        <f>IF('Scope 1'!C54="Miles",0,'Scope 1'!F54)</f>
        <v>0</v>
      </c>
      <c r="J52" s="146">
        <f>IF(OR('Scope 1'!C54="Miles",'Scope 1'!G54="Enter Consumption Figure"),0,'Scope 1'!G54)</f>
        <v>0</v>
      </c>
    </row>
    <row r="53" spans="1:10" x14ac:dyDescent="0.2">
      <c r="A53" s="146">
        <f>Overview!$C$21</f>
        <v>0</v>
      </c>
      <c r="B53" s="146" t="str">
        <f>Overview!$C$15</f>
        <v>2019-20</v>
      </c>
      <c r="C53" s="146" t="str">
        <f>'Scope guidance'!$D$32</f>
        <v>Operational Control Boundary</v>
      </c>
      <c r="D53" s="146" t="s">
        <v>49</v>
      </c>
      <c r="E53" s="146" t="s">
        <v>506</v>
      </c>
      <c r="F53" s="146" t="s">
        <v>545</v>
      </c>
      <c r="G53" s="146" t="s">
        <v>524</v>
      </c>
      <c r="H53" s="146">
        <f>IF('Scope 1'!C55="Miles",0,'Scope 1'!E55)</f>
        <v>0</v>
      </c>
      <c r="I53" s="146">
        <f>IF('Scope 1'!C55="Miles",0,'Scope 1'!F55)</f>
        <v>0</v>
      </c>
      <c r="J53" s="146">
        <f>IF(OR('Scope 1'!C55="Miles",'Scope 1'!G55="Enter Consumption Figure"),0,'Scope 1'!G55)</f>
        <v>0</v>
      </c>
    </row>
    <row r="54" spans="1:10" x14ac:dyDescent="0.2">
      <c r="A54" s="146">
        <f>Overview!$C$21</f>
        <v>0</v>
      </c>
      <c r="B54" s="146" t="str">
        <f>Overview!$C$15</f>
        <v>2019-20</v>
      </c>
      <c r="C54" s="146" t="str">
        <f>'Scope guidance'!$D$32</f>
        <v>Operational Control Boundary</v>
      </c>
      <c r="D54" s="146" t="s">
        <v>49</v>
      </c>
      <c r="E54" s="146" t="s">
        <v>506</v>
      </c>
      <c r="F54" s="146" t="s">
        <v>537</v>
      </c>
      <c r="G54" s="146" t="s">
        <v>524</v>
      </c>
      <c r="H54" s="146">
        <f>IF('Scope 1'!C58="Miles",0,'Scope 1'!E58)</f>
        <v>0</v>
      </c>
      <c r="I54" s="146">
        <f>IF('Scope 1'!C58="Miles",0,'Scope 1'!F58)</f>
        <v>0</v>
      </c>
      <c r="J54" s="146">
        <f>IF(OR('Scope 1'!C58="Miles",'Scope 1'!G58="Enter Consumption Figure"),0,'Scope 1'!G58)</f>
        <v>0</v>
      </c>
    </row>
    <row r="55" spans="1:10" x14ac:dyDescent="0.2">
      <c r="A55" s="146">
        <f>Overview!$C$21</f>
        <v>0</v>
      </c>
      <c r="B55" s="146" t="str">
        <f>Overview!$C$15</f>
        <v>2019-20</v>
      </c>
      <c r="C55" s="146" t="str">
        <f>'Scope guidance'!$D$32</f>
        <v>Operational Control Boundary</v>
      </c>
      <c r="D55" s="146" t="s">
        <v>49</v>
      </c>
      <c r="E55" s="146" t="s">
        <v>506</v>
      </c>
      <c r="F55" s="146" t="s">
        <v>528</v>
      </c>
      <c r="G55" s="146" t="s">
        <v>524</v>
      </c>
      <c r="H55" s="146">
        <f>IF('Scope 1'!C59="Miles",0,'Scope 1'!E59)</f>
        <v>0</v>
      </c>
      <c r="I55" s="146">
        <f>IF('Scope 1'!C59="Miles",0,'Scope 1'!F59)</f>
        <v>0</v>
      </c>
      <c r="J55" s="146">
        <f>IF(OR('Scope 1'!C59="Miles",'Scope 1'!G59="Enter Consumption Figure"),0,'Scope 1'!G59)</f>
        <v>0</v>
      </c>
    </row>
    <row r="56" spans="1:10" x14ac:dyDescent="0.2">
      <c r="A56" s="146">
        <f>Overview!$C$21</f>
        <v>0</v>
      </c>
      <c r="B56" s="146" t="str">
        <f>Overview!$C$15</f>
        <v>2019-20</v>
      </c>
      <c r="C56" s="146" t="str">
        <f>'Scope guidance'!$D$32</f>
        <v>Operational Control Boundary</v>
      </c>
      <c r="D56" s="146" t="s">
        <v>49</v>
      </c>
      <c r="E56" s="146" t="s">
        <v>506</v>
      </c>
      <c r="F56" s="146" t="s">
        <v>529</v>
      </c>
      <c r="G56" s="146" t="s">
        <v>524</v>
      </c>
      <c r="H56" s="146">
        <f>IF('Scope 1'!C58="Miles",0,'Scope 1'!E58)</f>
        <v>0</v>
      </c>
      <c r="I56" s="146">
        <f>IF('Scope 1'!C58="Miles",0,'Scope 1'!F58)</f>
        <v>0</v>
      </c>
      <c r="J56" s="146">
        <f>IF(OR('Scope 1'!C60="Miles",'Scope 1'!G60="Enter Consumption Figure"),0,'Scope 1'!G60)</f>
        <v>0</v>
      </c>
    </row>
    <row r="57" spans="1:10" x14ac:dyDescent="0.2">
      <c r="A57" s="146">
        <f>Overview!$C$21</f>
        <v>0</v>
      </c>
      <c r="B57" s="146" t="str">
        <f>Overview!$C$15</f>
        <v>2019-20</v>
      </c>
      <c r="C57" s="146" t="str">
        <f>'Scope guidance'!$D$32</f>
        <v>Operational Control Boundary</v>
      </c>
      <c r="D57" s="146" t="s">
        <v>49</v>
      </c>
      <c r="E57" s="146" t="s">
        <v>506</v>
      </c>
      <c r="F57" s="146" t="s">
        <v>534</v>
      </c>
      <c r="G57" s="146" t="s">
        <v>524</v>
      </c>
      <c r="H57" s="146">
        <f>IF('Scope 1'!C59="Miles",0,'Scope 1'!E59)</f>
        <v>0</v>
      </c>
      <c r="I57" s="146">
        <f>IF('Scope 1'!C59="Miles",0,'Scope 1'!F59)</f>
        <v>0</v>
      </c>
      <c r="J57" s="146">
        <f>IF(OR('Scope 1'!C61="Miles",'Scope 1'!G61="Enter Consumption Figure"),0,'Scope 1'!G61)</f>
        <v>0</v>
      </c>
    </row>
    <row r="58" spans="1:10" x14ac:dyDescent="0.2">
      <c r="A58" s="146">
        <f>Overview!$C$21</f>
        <v>0</v>
      </c>
      <c r="B58" s="146" t="str">
        <f>Overview!$C$15</f>
        <v>2019-20</v>
      </c>
      <c r="C58" s="146" t="str">
        <f>'Scope guidance'!$D$32</f>
        <v>Operational Control Boundary</v>
      </c>
      <c r="D58" s="146" t="s">
        <v>49</v>
      </c>
      <c r="E58" s="146" t="s">
        <v>506</v>
      </c>
      <c r="F58" s="146" t="s">
        <v>530</v>
      </c>
      <c r="G58" s="146" t="s">
        <v>524</v>
      </c>
      <c r="H58" s="146">
        <f>IF('Scope 1'!C60="Miles",0,'Scope 1'!E60)</f>
        <v>0</v>
      </c>
      <c r="I58" s="146">
        <f>IF('Scope 1'!C60="Miles",0,'Scope 1'!F60)</f>
        <v>0</v>
      </c>
      <c r="J58" s="146">
        <f>IF(OR('Scope 1'!C62="Miles",'Scope 1'!G62="Enter Consumption Figure"),0,'Scope 1'!G62)</f>
        <v>0</v>
      </c>
    </row>
    <row r="59" spans="1:10" x14ac:dyDescent="0.2">
      <c r="A59" s="146">
        <f>Overview!$C$21</f>
        <v>0</v>
      </c>
      <c r="B59" s="146" t="str">
        <f>Overview!$C$15</f>
        <v>2019-20</v>
      </c>
      <c r="C59" s="146" t="str">
        <f>'Scope guidance'!$D$32</f>
        <v>Operational Control Boundary</v>
      </c>
      <c r="D59" s="146" t="s">
        <v>49</v>
      </c>
      <c r="E59" s="146" t="s">
        <v>506</v>
      </c>
      <c r="F59" s="146" t="s">
        <v>531</v>
      </c>
      <c r="G59" s="146" t="s">
        <v>524</v>
      </c>
      <c r="H59" s="146">
        <f>IF('Scope 1'!C61="Miles",0,'Scope 1'!E61)</f>
        <v>0</v>
      </c>
      <c r="I59" s="146">
        <f>IF('Scope 1'!C61="Miles",0,'Scope 1'!F61)</f>
        <v>0</v>
      </c>
      <c r="J59" s="146">
        <f>IF(OR('Scope 1'!C63="Miles",'Scope 1'!G63="Enter Consumption Figure"),0,'Scope 1'!G63)</f>
        <v>0</v>
      </c>
    </row>
    <row r="60" spans="1:10" x14ac:dyDescent="0.2">
      <c r="A60" s="146">
        <f>Overview!$C$21</f>
        <v>0</v>
      </c>
      <c r="B60" s="146" t="str">
        <f>Overview!$C$15</f>
        <v>2019-20</v>
      </c>
      <c r="C60" s="146" t="str">
        <f>'Scope guidance'!$D$32</f>
        <v>Operational Control Boundary</v>
      </c>
      <c r="D60" s="146" t="s">
        <v>49</v>
      </c>
      <c r="E60" s="146" t="s">
        <v>506</v>
      </c>
      <c r="F60" s="146" t="s">
        <v>533</v>
      </c>
      <c r="G60" s="146" t="s">
        <v>524</v>
      </c>
      <c r="H60" s="146">
        <f>IF('Scope 1'!C62="Miles",0,'Scope 1'!E62)</f>
        <v>0</v>
      </c>
      <c r="I60" s="146">
        <f>IF('Scope 1'!C62="Miles",0,'Scope 1'!F62)</f>
        <v>0</v>
      </c>
      <c r="J60" s="146">
        <f>IF(OR('Scope 1'!C64="Miles",'Scope 1'!G64="Enter Consumption Figure"),0,'Scope 1'!G64)</f>
        <v>0</v>
      </c>
    </row>
    <row r="61" spans="1:10" x14ac:dyDescent="0.2">
      <c r="A61" s="146">
        <f>Overview!$C$21</f>
        <v>0</v>
      </c>
      <c r="B61" s="146" t="str">
        <f>Overview!$C$15</f>
        <v>2019-20</v>
      </c>
      <c r="C61" s="146" t="str">
        <f>'Scope guidance'!$D$32</f>
        <v>Operational Control Boundary</v>
      </c>
      <c r="D61" s="146" t="s">
        <v>49</v>
      </c>
      <c r="E61" s="146" t="s">
        <v>506</v>
      </c>
      <c r="F61" s="146" t="s">
        <v>532</v>
      </c>
      <c r="G61" s="146" t="s">
        <v>524</v>
      </c>
      <c r="H61" s="146">
        <f>IF('Scope 1'!C63="Miles",0,'Scope 1'!E63)</f>
        <v>0</v>
      </c>
      <c r="I61" s="146">
        <f>IF('Scope 1'!C63="Miles",0,'Scope 1'!F63)</f>
        <v>0</v>
      </c>
      <c r="J61" s="146">
        <f>IF(OR('Scope 1'!C65="Miles",'Scope 1'!G65="Enter Consumption Figure"),0,'Scope 1'!G65)</f>
        <v>0</v>
      </c>
    </row>
    <row r="62" spans="1:10" x14ac:dyDescent="0.2">
      <c r="A62" s="146">
        <f>Overview!$C$21</f>
        <v>0</v>
      </c>
      <c r="B62" s="146" t="str">
        <f>Overview!$C$15</f>
        <v>2019-20</v>
      </c>
      <c r="C62" s="146" t="str">
        <f>'Scope guidance'!$D$32</f>
        <v>Operational Control Boundary</v>
      </c>
      <c r="D62" s="146" t="s">
        <v>50</v>
      </c>
      <c r="E62" s="146" t="s">
        <v>45</v>
      </c>
      <c r="F62" s="146" t="s">
        <v>452</v>
      </c>
      <c r="G62" s="146" t="s">
        <v>26</v>
      </c>
      <c r="H62" s="146">
        <f>'Scope 2'!E18</f>
        <v>26768383.815700002</v>
      </c>
      <c r="I62" s="146">
        <f>'Scope 2'!F18</f>
        <v>0.25559999999999999</v>
      </c>
      <c r="J62" s="146">
        <f>IF('Scope 2'!G18="Enter Consumption Figure",0,'Scope 2'!G18)</f>
        <v>6841.9989032929207</v>
      </c>
    </row>
    <row r="63" spans="1:10" x14ac:dyDescent="0.2">
      <c r="A63" s="146">
        <f>Overview!$C$21</f>
        <v>0</v>
      </c>
      <c r="B63" s="146" t="str">
        <f>Overview!$C$15</f>
        <v>2019-20</v>
      </c>
      <c r="C63" s="146" t="str">
        <f>'Scope guidance'!$D$32</f>
        <v>Operational Control Boundary</v>
      </c>
      <c r="D63" s="146" t="s">
        <v>50</v>
      </c>
      <c r="E63" s="146" t="s">
        <v>45</v>
      </c>
      <c r="F63" s="146" t="s">
        <v>453</v>
      </c>
      <c r="G63" s="146" t="s">
        <v>26</v>
      </c>
      <c r="H63" s="146">
        <f>'Scope 2'!E19</f>
        <v>3368991.38</v>
      </c>
      <c r="I63" s="146">
        <f>'Scope 2'!F19</f>
        <v>0.25559999999999999</v>
      </c>
      <c r="J63" s="146">
        <f>IF('Scope 2'!G19="Enter Consumption Figure",0,'Scope 2'!G19)</f>
        <v>861.11419672799991</v>
      </c>
    </row>
    <row r="64" spans="1:10" x14ac:dyDescent="0.2">
      <c r="A64" s="146">
        <f>Overview!$C$21</f>
        <v>0</v>
      </c>
      <c r="B64" s="146" t="str">
        <f>Overview!$C$15</f>
        <v>2019-20</v>
      </c>
      <c r="C64" s="146" t="str">
        <f>'Scope guidance'!$D$32</f>
        <v>Operational Control Boundary</v>
      </c>
      <c r="D64" s="146" t="s">
        <v>46</v>
      </c>
      <c r="E64" s="146" t="s">
        <v>539</v>
      </c>
      <c r="F64" s="146" t="s">
        <v>520</v>
      </c>
      <c r="G64" s="146" t="s">
        <v>25</v>
      </c>
      <c r="H64" s="146">
        <f>'Scope 3'!E18</f>
        <v>0</v>
      </c>
      <c r="I64" s="146">
        <f>'Scope 3'!F18</f>
        <v>0.13591</v>
      </c>
      <c r="J64" s="146">
        <f>IF('Scope 3'!G18="Enter Consumption Figure",0,'Scope 3'!G18)</f>
        <v>0</v>
      </c>
    </row>
    <row r="65" spans="1:10" x14ac:dyDescent="0.2">
      <c r="A65" s="146">
        <f>Overview!$C$21</f>
        <v>0</v>
      </c>
      <c r="B65" s="146" t="str">
        <f>Overview!$C$15</f>
        <v>2019-20</v>
      </c>
      <c r="C65" s="146" t="str">
        <f>'Scope guidance'!$D$32</f>
        <v>Operational Control Boundary</v>
      </c>
      <c r="D65" s="146" t="s">
        <v>46</v>
      </c>
      <c r="E65" s="146" t="s">
        <v>539</v>
      </c>
      <c r="F65" s="146" t="s">
        <v>600</v>
      </c>
      <c r="G65" s="146" t="s">
        <v>25</v>
      </c>
      <c r="H65" s="146">
        <f>'Scope 3'!E19</f>
        <v>0</v>
      </c>
      <c r="I65" s="146">
        <f>'Scope 3'!F19</f>
        <v>0.16559000000000001</v>
      </c>
      <c r="J65" s="146">
        <f>IF('Scope 3'!G19="Enter Consumption Figure",0,'Scope 3'!G19)</f>
        <v>0</v>
      </c>
    </row>
    <row r="66" spans="1:10" x14ac:dyDescent="0.2">
      <c r="A66" s="146">
        <f>Overview!$C$21</f>
        <v>0</v>
      </c>
      <c r="B66" s="146" t="str">
        <f>Overview!$C$15</f>
        <v>2019-20</v>
      </c>
      <c r="C66" s="146" t="str">
        <f>'Scope guidance'!$D$32</f>
        <v>Operational Control Boundary</v>
      </c>
      <c r="D66" s="146" t="s">
        <v>46</v>
      </c>
      <c r="E66" s="146" t="s">
        <v>539</v>
      </c>
      <c r="F66" s="146" t="s">
        <v>601</v>
      </c>
      <c r="G66" s="146" t="s">
        <v>25</v>
      </c>
      <c r="H66" s="146">
        <f>'Scope 3'!E20</f>
        <v>0</v>
      </c>
      <c r="I66" s="146">
        <f>'Scope 3'!F20</f>
        <v>0.28502</v>
      </c>
      <c r="J66" s="146">
        <f>IF('Scope 3'!G20="Enter Consumption Figure",0,'Scope 3'!G20)</f>
        <v>0</v>
      </c>
    </row>
    <row r="67" spans="1:10" x14ac:dyDescent="0.2">
      <c r="A67" s="146">
        <f>Overview!$C$21</f>
        <v>0</v>
      </c>
      <c r="B67" s="146" t="str">
        <f>Overview!$C$15</f>
        <v>2019-20</v>
      </c>
      <c r="C67" s="146" t="str">
        <f>'Scope guidance'!$D$32</f>
        <v>Operational Control Boundary</v>
      </c>
      <c r="D67" s="146" t="s">
        <v>46</v>
      </c>
      <c r="E67" s="146" t="s">
        <v>539</v>
      </c>
      <c r="F67" s="146" t="s">
        <v>517</v>
      </c>
      <c r="G67" s="146" t="s">
        <v>25</v>
      </c>
      <c r="H67" s="146">
        <f>'Scope 3'!E21</f>
        <v>0</v>
      </c>
      <c r="I67" s="146">
        <f>'Scope 3'!F21</f>
        <v>0.24736</v>
      </c>
      <c r="J67" s="146">
        <f>IF('Scope 3'!G21="Enter Consumption Figure",0,'Scope 3'!G21)</f>
        <v>0</v>
      </c>
    </row>
    <row r="68" spans="1:10" x14ac:dyDescent="0.2">
      <c r="A68" s="146">
        <f>Overview!$C$21</f>
        <v>0</v>
      </c>
      <c r="B68" s="146" t="str">
        <f>Overview!$C$15</f>
        <v>2019-20</v>
      </c>
      <c r="C68" s="146" t="str">
        <f>'Scope guidance'!$D$32</f>
        <v>Operational Control Boundary</v>
      </c>
      <c r="D68" s="146" t="s">
        <v>46</v>
      </c>
      <c r="E68" s="146" t="s">
        <v>539</v>
      </c>
      <c r="F68" s="146" t="s">
        <v>521</v>
      </c>
      <c r="G68" s="146" t="s">
        <v>25</v>
      </c>
      <c r="H68" s="146">
        <f>'Scope 3'!E22</f>
        <v>0</v>
      </c>
      <c r="I68" s="146">
        <f>'Scope 3'!F22</f>
        <v>0.30945</v>
      </c>
      <c r="J68" s="146">
        <f>IF('Scope 3'!G22="Enter Consumption Figure",0,'Scope 3'!G22)</f>
        <v>0</v>
      </c>
    </row>
    <row r="69" spans="1:10" x14ac:dyDescent="0.2">
      <c r="A69" s="146">
        <f>Overview!$C$21</f>
        <v>0</v>
      </c>
      <c r="B69" s="146" t="str">
        <f>Overview!$C$15</f>
        <v>2019-20</v>
      </c>
      <c r="C69" s="146" t="str">
        <f>'Scope guidance'!$D$32</f>
        <v>Operational Control Boundary</v>
      </c>
      <c r="D69" s="146" t="s">
        <v>46</v>
      </c>
      <c r="E69" s="146" t="s">
        <v>539</v>
      </c>
      <c r="F69" s="146" t="s">
        <v>522</v>
      </c>
      <c r="G69" s="146" t="s">
        <v>25</v>
      </c>
      <c r="H69" s="146">
        <f>'Scope 3'!E23</f>
        <v>0</v>
      </c>
      <c r="I69" s="146">
        <f>'Scope 3'!F23</f>
        <v>0.45535999999999999</v>
      </c>
      <c r="J69" s="146">
        <f>IF('Scope 3'!G23="Enter Consumption Figure",0,'Scope 3'!G23)</f>
        <v>0</v>
      </c>
    </row>
    <row r="70" spans="1:10" x14ac:dyDescent="0.2">
      <c r="A70" s="146">
        <f>Overview!$C$21</f>
        <v>0</v>
      </c>
      <c r="B70" s="146" t="str">
        <f>Overview!$C$15</f>
        <v>2019-20</v>
      </c>
      <c r="C70" s="146" t="str">
        <f>'Scope guidance'!$D$32</f>
        <v>Operational Control Boundary</v>
      </c>
      <c r="D70" s="146" t="s">
        <v>46</v>
      </c>
      <c r="E70" s="146" t="s">
        <v>539</v>
      </c>
      <c r="F70" s="146" t="s">
        <v>602</v>
      </c>
      <c r="G70" s="146" t="s">
        <v>25</v>
      </c>
      <c r="H70" s="146">
        <f>'Scope 3'!E24</f>
        <v>0</v>
      </c>
      <c r="I70" s="146">
        <f>'Scope 3'!F24</f>
        <v>0.22868000000000002</v>
      </c>
      <c r="J70" s="146">
        <f>IF('Scope 3'!G24="Enter Consumption Figure",0,'Scope 3'!G24)</f>
        <v>0</v>
      </c>
    </row>
    <row r="71" spans="1:10" x14ac:dyDescent="0.2">
      <c r="A71" s="146">
        <f>Overview!$C$21</f>
        <v>0</v>
      </c>
      <c r="B71" s="146" t="str">
        <f>Overview!$C$15</f>
        <v>2019-20</v>
      </c>
      <c r="C71" s="146" t="str">
        <f>'Scope guidance'!$D$32</f>
        <v>Operational Control Boundary</v>
      </c>
      <c r="D71" s="146" t="s">
        <v>46</v>
      </c>
      <c r="E71" s="146" t="s">
        <v>539</v>
      </c>
      <c r="F71" s="146" t="s">
        <v>603</v>
      </c>
      <c r="G71" s="146" t="s">
        <v>25</v>
      </c>
      <c r="H71" s="146">
        <f>'Scope 3'!E25</f>
        <v>0</v>
      </c>
      <c r="I71" s="146">
        <f>'Scope 3'!F25</f>
        <v>0.27459</v>
      </c>
      <c r="J71" s="146">
        <f>IF('Scope 3'!G25="Enter Consumption Figure",0,'Scope 3'!G25)</f>
        <v>0</v>
      </c>
    </row>
    <row r="72" spans="1:10" x14ac:dyDescent="0.2">
      <c r="A72" s="146">
        <f>Overview!$C$21</f>
        <v>0</v>
      </c>
      <c r="B72" s="146" t="str">
        <f>Overview!$C$15</f>
        <v>2019-20</v>
      </c>
      <c r="C72" s="146" t="str">
        <f>'Scope guidance'!$D$32</f>
        <v>Operational Control Boundary</v>
      </c>
      <c r="D72" s="146" t="s">
        <v>46</v>
      </c>
      <c r="E72" s="146" t="s">
        <v>539</v>
      </c>
      <c r="F72" s="146" t="s">
        <v>519</v>
      </c>
      <c r="G72" s="146" t="s">
        <v>25</v>
      </c>
      <c r="H72" s="146">
        <f>'Scope 3'!E26</f>
        <v>0</v>
      </c>
      <c r="I72" s="146">
        <f>'Scope 3'!F26</f>
        <v>0.33712999999999999</v>
      </c>
      <c r="J72" s="146">
        <f>IF('Scope 3'!G26="Enter Consumption Figure",0,'Scope 3'!G26)</f>
        <v>0</v>
      </c>
    </row>
    <row r="73" spans="1:10" x14ac:dyDescent="0.2">
      <c r="A73" s="146">
        <f>Overview!$C$21</f>
        <v>0</v>
      </c>
      <c r="B73" s="146" t="str">
        <f>Overview!$C$15</f>
        <v>2019-20</v>
      </c>
      <c r="C73" s="146" t="str">
        <f>'Scope guidance'!$D$32</f>
        <v>Operational Control Boundary</v>
      </c>
      <c r="D73" s="146" t="s">
        <v>46</v>
      </c>
      <c r="E73" s="146" t="s">
        <v>539</v>
      </c>
      <c r="F73" s="146" t="s">
        <v>518</v>
      </c>
      <c r="G73" s="146" t="s">
        <v>25</v>
      </c>
      <c r="H73" s="146">
        <f>'Scope 3'!E27</f>
        <v>0</v>
      </c>
      <c r="I73" s="146">
        <f>'Scope 3'!F27</f>
        <v>0.16930000000000001</v>
      </c>
      <c r="J73" s="146">
        <f>IF('Scope 3'!G27="Enter Consumption Figure",0,'Scope 3'!G27)</f>
        <v>0</v>
      </c>
    </row>
    <row r="74" spans="1:10" x14ac:dyDescent="0.2">
      <c r="A74" s="146">
        <f>Overview!$C$21</f>
        <v>0</v>
      </c>
      <c r="B74" s="146" t="str">
        <f>Overview!$C$15</f>
        <v>2019-20</v>
      </c>
      <c r="C74" s="146" t="str">
        <f>'Scope guidance'!$D$32</f>
        <v>Operational Control Boundary</v>
      </c>
      <c r="D74" s="146" t="s">
        <v>46</v>
      </c>
      <c r="E74" s="146" t="s">
        <v>539</v>
      </c>
      <c r="F74" s="146" t="s">
        <v>544</v>
      </c>
      <c r="G74" s="146" t="s">
        <v>25</v>
      </c>
      <c r="H74" s="146">
        <f>'Scope 3'!E28</f>
        <v>0</v>
      </c>
      <c r="I74" s="146">
        <f>'Scope 3'!F28</f>
        <v>0.17534</v>
      </c>
      <c r="J74" s="146">
        <f>IF('Scope 3'!G28="Enter Consumption Figure",0,'Scope 3'!G28)</f>
        <v>0</v>
      </c>
    </row>
    <row r="75" spans="1:10" x14ac:dyDescent="0.2">
      <c r="A75" s="146">
        <f>Overview!$C$21</f>
        <v>0</v>
      </c>
      <c r="B75" s="146" t="str">
        <f>Overview!$C$15</f>
        <v>2019-20</v>
      </c>
      <c r="C75" s="146" t="str">
        <f>'Scope guidance'!$D$32</f>
        <v>Operational Control Boundary</v>
      </c>
      <c r="D75" s="146" t="s">
        <v>46</v>
      </c>
      <c r="E75" s="146" t="s">
        <v>539</v>
      </c>
      <c r="F75" s="146" t="s">
        <v>545</v>
      </c>
      <c r="G75" s="146" t="s">
        <v>25</v>
      </c>
      <c r="H75" s="146">
        <f>'Scope 3'!E29</f>
        <v>0</v>
      </c>
      <c r="I75" s="146">
        <f>'Scope 3'!F29</f>
        <v>0.21207000000000001</v>
      </c>
      <c r="J75" s="146">
        <f>IF('Scope 3'!G29="Enter Consumption Figure",0,'Scope 3'!G29)</f>
        <v>0</v>
      </c>
    </row>
    <row r="76" spans="1:10" x14ac:dyDescent="0.2">
      <c r="A76" s="146">
        <f>Overview!$C$21</f>
        <v>0</v>
      </c>
      <c r="B76" s="146" t="str">
        <f>Overview!$C$15</f>
        <v>2019-20</v>
      </c>
      <c r="C76" s="146" t="str">
        <f>'Scope guidance'!$D$32</f>
        <v>Operational Control Boundary</v>
      </c>
      <c r="D76" s="146" t="s">
        <v>46</v>
      </c>
      <c r="E76" s="146" t="s">
        <v>539</v>
      </c>
      <c r="F76" s="146" t="s">
        <v>542</v>
      </c>
      <c r="G76" s="146" t="s">
        <v>25</v>
      </c>
      <c r="H76" s="146">
        <f>'Scope 3'!E30</f>
        <v>0</v>
      </c>
      <c r="I76" s="146">
        <f>'Scope 3'!F30</f>
        <v>8.931E-2</v>
      </c>
      <c r="J76" s="146">
        <f>IF('Scope 3'!G30="Enter Consumption Figure",0,'Scope 3'!G30)</f>
        <v>0</v>
      </c>
    </row>
    <row r="77" spans="1:10" x14ac:dyDescent="0.2">
      <c r="A77" s="146">
        <f>Overview!$C$21</f>
        <v>0</v>
      </c>
      <c r="B77" s="146" t="str">
        <f>Overview!$C$15</f>
        <v>2019-20</v>
      </c>
      <c r="C77" s="146" t="str">
        <f>'Scope guidance'!$D$32</f>
        <v>Operational Control Boundary</v>
      </c>
      <c r="D77" s="146" t="s">
        <v>46</v>
      </c>
      <c r="E77" s="146" t="s">
        <v>597</v>
      </c>
      <c r="F77" s="146" t="s">
        <v>472</v>
      </c>
      <c r="G77" s="146" t="s">
        <v>25</v>
      </c>
      <c r="H77" s="146">
        <f>IF('Scope 3'!C35="Litres",0,'Scope 3'!E35)</f>
        <v>0</v>
      </c>
      <c r="I77" s="146">
        <f>IF('Scope 3'!C35="Litres",0,'Scope 3'!F35)</f>
        <v>0</v>
      </c>
      <c r="J77" s="146">
        <f>IF(OR('Scope 3'!C35="Litres",'Scope 3'!G35="Enter Consumption Figure"),0,'Scope 3'!G35)</f>
        <v>0</v>
      </c>
    </row>
    <row r="78" spans="1:10" x14ac:dyDescent="0.2">
      <c r="A78" s="146">
        <f>Overview!$C$21</f>
        <v>0</v>
      </c>
      <c r="B78" s="146" t="str">
        <f>Overview!$C$15</f>
        <v>2019-20</v>
      </c>
      <c r="C78" s="146" t="str">
        <f>'Scope guidance'!$D$32</f>
        <v>Operational Control Boundary</v>
      </c>
      <c r="D78" s="146" t="s">
        <v>46</v>
      </c>
      <c r="E78" s="146" t="s">
        <v>597</v>
      </c>
      <c r="F78" s="146" t="s">
        <v>476</v>
      </c>
      <c r="G78" s="146" t="s">
        <v>25</v>
      </c>
      <c r="H78" s="146">
        <f>IF('Scope 3'!C36="Litres",0,'Scope 3'!E36)</f>
        <v>0</v>
      </c>
      <c r="I78" s="146">
        <f>IF('Scope 3'!C36="Litres",0,'Scope 3'!F36)</f>
        <v>0</v>
      </c>
      <c r="J78" s="146">
        <f>IF(OR('Scope 3'!C36="Litres",'Scope 3'!G36="Enter Consumption Figure"),0,'Scope 3'!G36)</f>
        <v>0</v>
      </c>
    </row>
    <row r="79" spans="1:10" x14ac:dyDescent="0.2">
      <c r="A79" s="146">
        <f>Overview!$C$21</f>
        <v>0</v>
      </c>
      <c r="B79" s="146" t="str">
        <f>Overview!$C$15</f>
        <v>2019-20</v>
      </c>
      <c r="C79" s="146" t="str">
        <f>'Scope guidance'!$D$32</f>
        <v>Operational Control Boundary</v>
      </c>
      <c r="D79" s="146" t="s">
        <v>46</v>
      </c>
      <c r="E79" s="146" t="s">
        <v>597</v>
      </c>
      <c r="F79" s="146" t="s">
        <v>519</v>
      </c>
      <c r="G79" s="146" t="s">
        <v>25</v>
      </c>
      <c r="H79" s="146">
        <f>IF('Scope 3'!C37="Litres",0,'Scope 3'!E37)</f>
        <v>0</v>
      </c>
      <c r="I79" s="146">
        <f>IF('Scope 3'!C37="Litres",0,'Scope 3'!F37)</f>
        <v>0</v>
      </c>
      <c r="J79" s="146">
        <f>IF(OR('Scope 3'!C37="Litres",'Scope 3'!G37="Enter Consumption Figure"),0,'Scope 3'!G37)</f>
        <v>0</v>
      </c>
    </row>
    <row r="80" spans="1:10" x14ac:dyDescent="0.2">
      <c r="A80" s="146">
        <f>Overview!$C$21</f>
        <v>0</v>
      </c>
      <c r="B80" s="146" t="str">
        <f>Overview!$C$15</f>
        <v>2019-20</v>
      </c>
      <c r="C80" s="146" t="str">
        <f>'Scope guidance'!$D$32</f>
        <v>Operational Control Boundary</v>
      </c>
      <c r="D80" s="146" t="s">
        <v>46</v>
      </c>
      <c r="E80" s="146" t="s">
        <v>597</v>
      </c>
      <c r="F80" s="146" t="s">
        <v>515</v>
      </c>
      <c r="G80" s="146" t="s">
        <v>25</v>
      </c>
      <c r="H80" s="146">
        <f>IF('Scope 3'!C38="Litres",0,'Scope 3'!E38)</f>
        <v>0</v>
      </c>
      <c r="I80" s="146">
        <f>IF('Scope 3'!C38="Litres",0,'Scope 3'!F38)</f>
        <v>0</v>
      </c>
      <c r="J80" s="146">
        <f>IF(OR('Scope 3'!C38="Litres",'Scope 3'!G38="Enter Consumption Figure"),0,'Scope 3'!G38)</f>
        <v>0</v>
      </c>
    </row>
    <row r="81" spans="1:10" x14ac:dyDescent="0.2">
      <c r="A81" s="146">
        <f>Overview!$C$21</f>
        <v>0</v>
      </c>
      <c r="B81" s="146" t="str">
        <f>Overview!$C$15</f>
        <v>2019-20</v>
      </c>
      <c r="C81" s="146" t="str">
        <f>'Scope guidance'!$D$32</f>
        <v>Operational Control Boundary</v>
      </c>
      <c r="D81" s="146" t="s">
        <v>46</v>
      </c>
      <c r="E81" s="146" t="s">
        <v>597</v>
      </c>
      <c r="F81" s="146" t="s">
        <v>477</v>
      </c>
      <c r="G81" s="146" t="s">
        <v>25</v>
      </c>
      <c r="H81" s="146">
        <f>IF('Scope 3'!C39="Litres",0,'Scope 3'!E39)</f>
        <v>0</v>
      </c>
      <c r="I81" s="146">
        <f>IF('Scope 3'!C39="Litres",0,'Scope 3'!F39)</f>
        <v>0</v>
      </c>
      <c r="J81" s="146">
        <f>IF(OR('Scope 3'!C39="Litres",'Scope 3'!G39="Enter Consumption Figure"),0,'Scope 3'!G39)</f>
        <v>0</v>
      </c>
    </row>
    <row r="82" spans="1:10" x14ac:dyDescent="0.2">
      <c r="A82" s="146">
        <f>Overview!$C$21</f>
        <v>0</v>
      </c>
      <c r="B82" s="146" t="str">
        <f>Overview!$C$15</f>
        <v>2019-20</v>
      </c>
      <c r="C82" s="146" t="str">
        <f>'Scope guidance'!$D$32</f>
        <v>Operational Control Boundary</v>
      </c>
      <c r="D82" s="146" t="s">
        <v>46</v>
      </c>
      <c r="E82" s="146" t="s">
        <v>597</v>
      </c>
      <c r="F82" s="146" t="s">
        <v>12</v>
      </c>
      <c r="G82" s="146" t="s">
        <v>25</v>
      </c>
      <c r="H82" s="146">
        <f>IF('Scope 3'!C40="Litres",0,'Scope 3'!E40)</f>
        <v>0</v>
      </c>
      <c r="I82" s="146">
        <f>IF('Scope 3'!C40="Litres",0,'Scope 3'!F40)</f>
        <v>0</v>
      </c>
      <c r="J82" s="146">
        <f>IF(OR('Scope 3'!C40="Litres",'Scope 3'!G40="Enter Consumption Figure"),0,'Scope 3'!G40)</f>
        <v>0</v>
      </c>
    </row>
    <row r="83" spans="1:10" x14ac:dyDescent="0.2">
      <c r="A83" s="146">
        <f>Overview!$C$21</f>
        <v>0</v>
      </c>
      <c r="B83" s="146" t="str">
        <f>Overview!$C$15</f>
        <v>2019-20</v>
      </c>
      <c r="C83" s="146" t="str">
        <f>'Scope guidance'!$D$32</f>
        <v>Operational Control Boundary</v>
      </c>
      <c r="D83" s="146" t="s">
        <v>46</v>
      </c>
      <c r="E83" s="146" t="s">
        <v>597</v>
      </c>
      <c r="F83" s="146" t="s">
        <v>13</v>
      </c>
      <c r="G83" s="146" t="s">
        <v>25</v>
      </c>
      <c r="H83" s="146">
        <f>IF('Scope 3'!C41="Litres",0,'Scope 3'!E41)</f>
        <v>0</v>
      </c>
      <c r="I83" s="146">
        <f>IF('Scope 3'!C41="Litres",0,'Scope 3'!F41)</f>
        <v>0</v>
      </c>
      <c r="J83" s="146">
        <f>IF(OR('Scope 3'!C41="Litres",'Scope 3'!G41="Enter Consumption Figure"),0,'Scope 3'!G41)</f>
        <v>0</v>
      </c>
    </row>
    <row r="84" spans="1:10" x14ac:dyDescent="0.2">
      <c r="A84" s="146">
        <f>Overview!$C$21</f>
        <v>0</v>
      </c>
      <c r="B84" s="146" t="str">
        <f>Overview!$C$15</f>
        <v>2019-20</v>
      </c>
      <c r="C84" s="146" t="str">
        <f>'Scope guidance'!$D$32</f>
        <v>Operational Control Boundary</v>
      </c>
      <c r="D84" s="146" t="s">
        <v>46</v>
      </c>
      <c r="E84" s="146" t="s">
        <v>597</v>
      </c>
      <c r="F84" s="146" t="s">
        <v>14</v>
      </c>
      <c r="G84" s="146" t="s">
        <v>25</v>
      </c>
      <c r="H84" s="146">
        <f>IF('Scope 3'!C42="Litres",0,'Scope 3'!E42)</f>
        <v>0</v>
      </c>
      <c r="I84" s="146">
        <f>IF('Scope 3'!C42="Litres",0,'Scope 3'!F42)</f>
        <v>0</v>
      </c>
      <c r="J84" s="146">
        <f>IF(OR('Scope 3'!C42="Litres",'Scope 3'!G42="Enter Consumption Figure"),0,'Scope 3'!G42)</f>
        <v>0</v>
      </c>
    </row>
    <row r="85" spans="1:10" x14ac:dyDescent="0.2">
      <c r="A85" s="146">
        <f>Overview!$C$21</f>
        <v>0</v>
      </c>
      <c r="B85" s="146" t="str">
        <f>Overview!$C$15</f>
        <v>2019-20</v>
      </c>
      <c r="C85" s="146" t="str">
        <f>'Scope guidance'!$D$32</f>
        <v>Operational Control Boundary</v>
      </c>
      <c r="D85" s="146" t="s">
        <v>46</v>
      </c>
      <c r="E85" s="146" t="s">
        <v>597</v>
      </c>
      <c r="F85" s="146" t="s">
        <v>516</v>
      </c>
      <c r="G85" s="146" t="s">
        <v>25</v>
      </c>
      <c r="H85" s="146">
        <f>IF('Scope 3'!C43="Litres",0,'Scope 3'!E43)</f>
        <v>0</v>
      </c>
      <c r="I85" s="146">
        <f>IF('Scope 3'!C43="Litres",0,'Scope 3'!F43)</f>
        <v>0</v>
      </c>
      <c r="J85" s="146">
        <f>IF(OR('Scope 3'!C43="Litres",'Scope 3'!G43="Enter Consumption Figure"),0,'Scope 3'!G43)</f>
        <v>0</v>
      </c>
    </row>
    <row r="86" spans="1:10" x14ac:dyDescent="0.2">
      <c r="A86" s="146">
        <f>Overview!$C$21</f>
        <v>0</v>
      </c>
      <c r="B86" s="146" t="str">
        <f>Overview!$C$15</f>
        <v>2019-20</v>
      </c>
      <c r="C86" s="146" t="str">
        <f>'Scope guidance'!$D$32</f>
        <v>Operational Control Boundary</v>
      </c>
      <c r="D86" s="146" t="s">
        <v>46</v>
      </c>
      <c r="E86" s="146" t="s">
        <v>597</v>
      </c>
      <c r="F86" s="146" t="s">
        <v>517</v>
      </c>
      <c r="G86" s="146" t="s">
        <v>25</v>
      </c>
      <c r="H86" s="146">
        <f>IF('Scope 3'!C44="Litres",0,'Scope 3'!E44)</f>
        <v>0</v>
      </c>
      <c r="I86" s="146">
        <f>IF('Scope 3'!C44="Litres",0,'Scope 3'!F44)</f>
        <v>0</v>
      </c>
      <c r="J86" s="146">
        <f>IF(OR('Scope 3'!C44="Litres",'Scope 3'!G44="Enter Consumption Figure"),0,'Scope 3'!G44)</f>
        <v>0</v>
      </c>
    </row>
    <row r="87" spans="1:10" x14ac:dyDescent="0.2">
      <c r="A87" s="146">
        <f>Overview!$C$21</f>
        <v>0</v>
      </c>
      <c r="B87" s="146" t="str">
        <f>Overview!$C$15</f>
        <v>2019-20</v>
      </c>
      <c r="C87" s="146" t="str">
        <f>'Scope guidance'!$D$32</f>
        <v>Operational Control Boundary</v>
      </c>
      <c r="D87" s="146" t="s">
        <v>46</v>
      </c>
      <c r="E87" s="146" t="s">
        <v>597</v>
      </c>
      <c r="F87" s="146" t="s">
        <v>521</v>
      </c>
      <c r="G87" s="146" t="s">
        <v>25</v>
      </c>
      <c r="H87" s="146">
        <f>IF('Scope 3'!C45="Litres",0,'Scope 3'!E45)</f>
        <v>0</v>
      </c>
      <c r="I87" s="146">
        <f>IF('Scope 3'!C45="Litres",0,'Scope 3'!F45)</f>
        <v>0</v>
      </c>
      <c r="J87" s="146">
        <f>IF(OR('Scope 3'!C45="Litres",'Scope 3'!G45="Enter Consumption Figure"),0,'Scope 3'!G45)</f>
        <v>0</v>
      </c>
    </row>
    <row r="88" spans="1:10" x14ac:dyDescent="0.2">
      <c r="A88" s="146">
        <f>Overview!$C$21</f>
        <v>0</v>
      </c>
      <c r="B88" s="146" t="str">
        <f>Overview!$C$15</f>
        <v>2019-20</v>
      </c>
      <c r="C88" s="146" t="str">
        <f>'Scope guidance'!$D$32</f>
        <v>Operational Control Boundary</v>
      </c>
      <c r="D88" s="146" t="s">
        <v>46</v>
      </c>
      <c r="E88" s="146" t="s">
        <v>597</v>
      </c>
      <c r="F88" s="146" t="s">
        <v>522</v>
      </c>
      <c r="G88" s="146" t="s">
        <v>25</v>
      </c>
      <c r="H88" s="146">
        <f>IF('Scope 3'!C46="Litres",0,'Scope 3'!E46)</f>
        <v>0</v>
      </c>
      <c r="I88" s="146">
        <f>IF('Scope 3'!C46="Litres",0,'Scope 3'!F46)</f>
        <v>0</v>
      </c>
      <c r="J88" s="146">
        <f>IF(OR('Scope 3'!C46="Litres",'Scope 3'!G46="Enter Consumption Figure"),0,'Scope 3'!G46)</f>
        <v>0</v>
      </c>
    </row>
    <row r="89" spans="1:10" x14ac:dyDescent="0.2">
      <c r="A89" s="146">
        <f>Overview!$C$21</f>
        <v>0</v>
      </c>
      <c r="B89" s="146" t="str">
        <f>Overview!$C$15</f>
        <v>2019-20</v>
      </c>
      <c r="C89" s="146" t="str">
        <f>'Scope guidance'!$D$32</f>
        <v>Operational Control Boundary</v>
      </c>
      <c r="D89" s="146" t="s">
        <v>46</v>
      </c>
      <c r="E89" s="146" t="s">
        <v>597</v>
      </c>
      <c r="F89" s="146" t="s">
        <v>518</v>
      </c>
      <c r="G89" s="146" t="s">
        <v>25</v>
      </c>
      <c r="H89" s="146">
        <f>IF('Scope 3'!C47="Litres",0,'Scope 3'!E47)</f>
        <v>0</v>
      </c>
      <c r="I89" s="146">
        <f>IF('Scope 3'!C47="Litres",0,'Scope 3'!F47)</f>
        <v>0</v>
      </c>
      <c r="J89" s="146">
        <f>IF(OR('Scope 3'!C47="Litres",'Scope 3'!G47="Enter Consumption Figure"),0,'Scope 3'!G47)</f>
        <v>0</v>
      </c>
    </row>
    <row r="90" spans="1:10" x14ac:dyDescent="0.2">
      <c r="A90" s="146">
        <f>Overview!$C$21</f>
        <v>0</v>
      </c>
      <c r="B90" s="146" t="str">
        <f>Overview!$C$15</f>
        <v>2019-20</v>
      </c>
      <c r="C90" s="146" t="str">
        <f>'Scope guidance'!$D$32</f>
        <v>Operational Control Boundary</v>
      </c>
      <c r="D90" s="146" t="s">
        <v>46</v>
      </c>
      <c r="E90" s="146" t="s">
        <v>597</v>
      </c>
      <c r="F90" s="146" t="s">
        <v>544</v>
      </c>
      <c r="G90" s="146" t="s">
        <v>25</v>
      </c>
      <c r="H90" s="146">
        <f>IF('Scope 3'!C48="Litres",0,'Scope 3'!E48)</f>
        <v>0</v>
      </c>
      <c r="I90" s="146">
        <f>IF('Scope 3'!C48="Litres",0,'Scope 3'!F48)</f>
        <v>0</v>
      </c>
      <c r="J90" s="146">
        <f>IF(OR('Scope 3'!C48="Litres",'Scope 3'!G48="Enter Consumption Figure"),0,'Scope 3'!G48)</f>
        <v>0</v>
      </c>
    </row>
    <row r="91" spans="1:10" x14ac:dyDescent="0.2">
      <c r="A91" s="146">
        <f>Overview!$C$21</f>
        <v>0</v>
      </c>
      <c r="B91" s="146" t="str">
        <f>Overview!$C$15</f>
        <v>2019-20</v>
      </c>
      <c r="C91" s="146" t="str">
        <f>'Scope guidance'!$D$32</f>
        <v>Operational Control Boundary</v>
      </c>
      <c r="D91" s="146" t="s">
        <v>46</v>
      </c>
      <c r="E91" s="146" t="s">
        <v>597</v>
      </c>
      <c r="F91" s="146" t="s">
        <v>545</v>
      </c>
      <c r="G91" s="146" t="s">
        <v>25</v>
      </c>
      <c r="H91" s="146">
        <f>IF('Scope 3'!C49="Litres",0,'Scope 3'!E49)</f>
        <v>0</v>
      </c>
      <c r="I91" s="146">
        <f>IF('Scope 3'!C49="Litres",0,'Scope 3'!F49)</f>
        <v>0</v>
      </c>
      <c r="J91" s="146">
        <f>IF(OR('Scope 3'!C49="Litres",'Scope 3'!G49="Enter Consumption Figure"),0,'Scope 3'!G49)</f>
        <v>0</v>
      </c>
    </row>
    <row r="92" spans="1:10" x14ac:dyDescent="0.2">
      <c r="A92" s="146">
        <f>Overview!$C$21</f>
        <v>0</v>
      </c>
      <c r="B92" s="146" t="str">
        <f>Overview!$C$15</f>
        <v>2019-20</v>
      </c>
      <c r="C92" s="146" t="str">
        <f>'Scope guidance'!$D$32</f>
        <v>Operational Control Boundary</v>
      </c>
      <c r="D92" s="146" t="s">
        <v>46</v>
      </c>
      <c r="E92" s="146" t="s">
        <v>597</v>
      </c>
      <c r="F92" s="146" t="s">
        <v>542</v>
      </c>
      <c r="G92" s="146" t="s">
        <v>25</v>
      </c>
      <c r="H92" s="146">
        <f>IF('Scope 3'!C50="Litres",0,'Scope 3'!E50)</f>
        <v>0</v>
      </c>
      <c r="I92" s="146">
        <f>IF('Scope 3'!C50="Litres",0,'Scope 3'!F50)</f>
        <v>8.931E-2</v>
      </c>
      <c r="J92" s="146">
        <f>IF(OR('Scope 3'!C50="Litres",'Scope 3'!G50="Enter Consumption Figure"),0,'Scope 3'!G50)</f>
        <v>0</v>
      </c>
    </row>
    <row r="93" spans="1:10" x14ac:dyDescent="0.2">
      <c r="A93" s="146">
        <f>Overview!$C$21</f>
        <v>0</v>
      </c>
      <c r="B93" s="146" t="str">
        <f>Overview!$C$15</f>
        <v>2019-20</v>
      </c>
      <c r="C93" s="146" t="str">
        <f>'Scope guidance'!$D$32</f>
        <v>Operational Control Boundary</v>
      </c>
      <c r="D93" s="146" t="s">
        <v>46</v>
      </c>
      <c r="E93" s="146" t="s">
        <v>597</v>
      </c>
      <c r="F93" s="146" t="s">
        <v>543</v>
      </c>
      <c r="G93" s="146" t="s">
        <v>25</v>
      </c>
      <c r="H93" s="146">
        <f>IF('Scope 3'!C51="Litres",0,'Scope 3'!E51)</f>
        <v>0</v>
      </c>
      <c r="I93" s="146">
        <f>IF('Scope 3'!C51="Litres",0,'Scope 3'!F51)</f>
        <v>0.28502</v>
      </c>
      <c r="J93" s="146">
        <f>IF(OR('Scope 3'!C51="Litres",'Scope 3'!G51="Enter Consumption Figure"),0,'Scope 3'!G51)</f>
        <v>0</v>
      </c>
    </row>
    <row r="94" spans="1:10" x14ac:dyDescent="0.2">
      <c r="A94" s="146">
        <f>Overview!$C$21</f>
        <v>0</v>
      </c>
      <c r="B94" s="146" t="str">
        <f>Overview!$C$15</f>
        <v>2019-20</v>
      </c>
      <c r="C94" s="146" t="str">
        <f>'Scope guidance'!$D$32</f>
        <v>Operational Control Boundary</v>
      </c>
      <c r="D94" s="146" t="s">
        <v>46</v>
      </c>
      <c r="E94" s="146" t="s">
        <v>597</v>
      </c>
      <c r="F94" s="146" t="s">
        <v>537</v>
      </c>
      <c r="G94" s="146" t="s">
        <v>25</v>
      </c>
      <c r="H94" s="146">
        <f>IF('Scope 3'!C52="Litres",0,'Scope 3'!E52)</f>
        <v>0</v>
      </c>
      <c r="I94" s="146">
        <f>IF('Scope 3'!C52="Litres",0,'Scope 3'!F52)</f>
        <v>0</v>
      </c>
      <c r="J94" s="146">
        <f>IF(OR('Scope 3'!C52="Litres",'Scope 3'!G52="Enter Consumption Figure"),0,'Scope 3'!G52)</f>
        <v>0</v>
      </c>
    </row>
    <row r="95" spans="1:10" x14ac:dyDescent="0.2">
      <c r="A95" s="146">
        <f>Overview!$C$21</f>
        <v>0</v>
      </c>
      <c r="B95" s="146" t="str">
        <f>Overview!$C$15</f>
        <v>2019-20</v>
      </c>
      <c r="C95" s="146" t="str">
        <f>'Scope guidance'!$D$32</f>
        <v>Operational Control Boundary</v>
      </c>
      <c r="D95" s="146" t="s">
        <v>46</v>
      </c>
      <c r="E95" s="146" t="s">
        <v>597</v>
      </c>
      <c r="F95" s="146" t="s">
        <v>528</v>
      </c>
      <c r="G95" s="146" t="s">
        <v>25</v>
      </c>
      <c r="H95" s="146">
        <f>IF('Scope 3'!C53="Litres",0,'Scope 3'!E53)</f>
        <v>0</v>
      </c>
      <c r="I95" s="146">
        <f>IF('Scope 3'!C53="Litres",0,'Scope 3'!F53)</f>
        <v>0</v>
      </c>
      <c r="J95" s="146">
        <f>IF(OR('Scope 3'!C53="Litres",'Scope 3'!G53="Enter Consumption Figure"),0,'Scope 3'!G53)</f>
        <v>0</v>
      </c>
    </row>
    <row r="96" spans="1:10" x14ac:dyDescent="0.2">
      <c r="A96" s="146">
        <f>Overview!$C$21</f>
        <v>0</v>
      </c>
      <c r="B96" s="146" t="str">
        <f>Overview!$C$15</f>
        <v>2019-20</v>
      </c>
      <c r="C96" s="146" t="str">
        <f>'Scope guidance'!$D$32</f>
        <v>Operational Control Boundary</v>
      </c>
      <c r="D96" s="146" t="s">
        <v>46</v>
      </c>
      <c r="E96" s="146" t="s">
        <v>597</v>
      </c>
      <c r="F96" s="146" t="s">
        <v>529</v>
      </c>
      <c r="G96" s="146" t="s">
        <v>25</v>
      </c>
      <c r="H96" s="146">
        <f>IF('Scope 3'!C54="Litres",0,'Scope 3'!E54)</f>
        <v>0</v>
      </c>
      <c r="I96" s="146">
        <f>IF('Scope 3'!C54="Litres",0,'Scope 3'!F54)</f>
        <v>0</v>
      </c>
      <c r="J96" s="146">
        <f>IF(OR('Scope 3'!C54="Litres",'Scope 3'!G54="Enter Consumption Figure"),0,'Scope 3'!G54)</f>
        <v>0</v>
      </c>
    </row>
    <row r="97" spans="1:10" x14ac:dyDescent="0.2">
      <c r="A97" s="146">
        <f>Overview!$C$21</f>
        <v>0</v>
      </c>
      <c r="B97" s="146" t="str">
        <f>Overview!$C$15</f>
        <v>2019-20</v>
      </c>
      <c r="C97" s="146" t="str">
        <f>'Scope guidance'!$D$32</f>
        <v>Operational Control Boundary</v>
      </c>
      <c r="D97" s="146" t="s">
        <v>46</v>
      </c>
      <c r="E97" s="146" t="s">
        <v>597</v>
      </c>
      <c r="F97" s="146" t="s">
        <v>534</v>
      </c>
      <c r="G97" s="146" t="s">
        <v>25</v>
      </c>
      <c r="H97" s="146">
        <f>IF('Scope 3'!C55="Litres",0,'Scope 3'!E55)</f>
        <v>0</v>
      </c>
      <c r="I97" s="146">
        <f>IF('Scope 3'!C55="Litres",0,'Scope 3'!F55)</f>
        <v>0</v>
      </c>
      <c r="J97" s="146">
        <f>IF(OR('Scope 3'!C55="Litres",'Scope 3'!G55="Enter Consumption Figure"),0,'Scope 3'!G55)</f>
        <v>0</v>
      </c>
    </row>
    <row r="98" spans="1:10" x14ac:dyDescent="0.2">
      <c r="A98" s="146">
        <f>Overview!$C$21</f>
        <v>0</v>
      </c>
      <c r="B98" s="146" t="str">
        <f>Overview!$C$15</f>
        <v>2019-20</v>
      </c>
      <c r="C98" s="146" t="str">
        <f>'Scope guidance'!$D$32</f>
        <v>Operational Control Boundary</v>
      </c>
      <c r="D98" s="146" t="s">
        <v>46</v>
      </c>
      <c r="E98" s="146" t="s">
        <v>597</v>
      </c>
      <c r="F98" s="146" t="s">
        <v>530</v>
      </c>
      <c r="G98" s="146" t="s">
        <v>25</v>
      </c>
      <c r="H98" s="146">
        <f>IF('Scope 3'!C56="Litres",0,'Scope 3'!E56)</f>
        <v>0</v>
      </c>
      <c r="I98" s="146">
        <f>IF('Scope 3'!C56="Litres",0,'Scope 3'!F56)</f>
        <v>0</v>
      </c>
      <c r="J98" s="146">
        <f>IF(OR('Scope 3'!C56="Litres",'Scope 3'!G56="Enter Consumption Figure"),0,'Scope 3'!G56)</f>
        <v>0</v>
      </c>
    </row>
    <row r="99" spans="1:10" x14ac:dyDescent="0.2">
      <c r="A99" s="146">
        <f>Overview!$C$21</f>
        <v>0</v>
      </c>
      <c r="B99" s="146" t="str">
        <f>Overview!$C$15</f>
        <v>2019-20</v>
      </c>
      <c r="C99" s="146" t="str">
        <f>'Scope guidance'!$D$32</f>
        <v>Operational Control Boundary</v>
      </c>
      <c r="D99" s="146" t="s">
        <v>46</v>
      </c>
      <c r="E99" s="146" t="s">
        <v>597</v>
      </c>
      <c r="F99" s="146" t="s">
        <v>531</v>
      </c>
      <c r="G99" s="146" t="s">
        <v>25</v>
      </c>
      <c r="H99" s="146">
        <f>IF('Scope 3'!C57="Litres",0,'Scope 3'!E57)</f>
        <v>0</v>
      </c>
      <c r="I99" s="146">
        <f>IF('Scope 3'!C57="Litres",0,'Scope 3'!F57)</f>
        <v>0</v>
      </c>
      <c r="J99" s="146">
        <f>IF(OR('Scope 3'!C57="Litres",'Scope 3'!G57="Enter Consumption Figure"),0,'Scope 3'!G57)</f>
        <v>0</v>
      </c>
    </row>
    <row r="100" spans="1:10" x14ac:dyDescent="0.2">
      <c r="A100" s="146">
        <f>Overview!$C$21</f>
        <v>0</v>
      </c>
      <c r="B100" s="146" t="str">
        <f>Overview!$C$15</f>
        <v>2019-20</v>
      </c>
      <c r="C100" s="146" t="str">
        <f>'Scope guidance'!$D$32</f>
        <v>Operational Control Boundary</v>
      </c>
      <c r="D100" s="146" t="s">
        <v>46</v>
      </c>
      <c r="E100" s="146" t="s">
        <v>597</v>
      </c>
      <c r="F100" s="146" t="s">
        <v>533</v>
      </c>
      <c r="G100" s="146" t="s">
        <v>25</v>
      </c>
      <c r="H100" s="146">
        <f>IF('Scope 3'!C58="Litres",0,'Scope 3'!E58)</f>
        <v>0</v>
      </c>
      <c r="I100" s="146">
        <f>IF('Scope 3'!C58="Litres",0,'Scope 3'!F58)</f>
        <v>0</v>
      </c>
      <c r="J100" s="146">
        <f>IF(OR('Scope 3'!C58="Litres",'Scope 3'!G58="Enter Consumption Figure"),0,'Scope 3'!G58)</f>
        <v>0</v>
      </c>
    </row>
    <row r="101" spans="1:10" x14ac:dyDescent="0.2">
      <c r="A101" s="146">
        <f>Overview!$C$21</f>
        <v>0</v>
      </c>
      <c r="B101" s="146" t="str">
        <f>Overview!$C$15</f>
        <v>2019-20</v>
      </c>
      <c r="C101" s="146" t="str">
        <f>'Scope guidance'!$D$32</f>
        <v>Operational Control Boundary</v>
      </c>
      <c r="D101" s="146" t="s">
        <v>46</v>
      </c>
      <c r="E101" s="146" t="s">
        <v>597</v>
      </c>
      <c r="F101" s="146" t="s">
        <v>532</v>
      </c>
      <c r="G101" s="146" t="s">
        <v>25</v>
      </c>
      <c r="H101" s="146">
        <f>IF('Scope 3'!C59="Litres",0,'Scope 3'!E59)</f>
        <v>0</v>
      </c>
      <c r="I101" s="146">
        <f>IF('Scope 3'!C59="Litres",0,'Scope 3'!F59)</f>
        <v>0</v>
      </c>
      <c r="J101" s="146">
        <f>IF(OR('Scope 3'!C59="Litres",'Scope 3'!G59="Enter Consumption Figure"),0,'Scope 3'!G59)</f>
        <v>0</v>
      </c>
    </row>
    <row r="102" spans="1:10" x14ac:dyDescent="0.2">
      <c r="A102" s="146">
        <f>Overview!$C$21</f>
        <v>0</v>
      </c>
      <c r="B102" s="146" t="str">
        <f>Overview!$C$15</f>
        <v>2019-20</v>
      </c>
      <c r="C102" s="146" t="str">
        <f>'Scope guidance'!$D$32</f>
        <v>Operational Control Boundary</v>
      </c>
      <c r="D102" s="146" t="s">
        <v>46</v>
      </c>
      <c r="E102" s="146" t="s">
        <v>597</v>
      </c>
      <c r="F102" s="146" t="s">
        <v>536</v>
      </c>
      <c r="G102" s="146" t="s">
        <v>524</v>
      </c>
      <c r="H102" s="146">
        <f>'Scope 3'!E60</f>
        <v>0</v>
      </c>
      <c r="I102" s="146">
        <f>'Scope 3'!F60</f>
        <v>2.5941100000000001</v>
      </c>
      <c r="J102" s="146">
        <f>IF('Scope 3'!G60="Enter Consumption Figure",0,'Scope 3'!G60)</f>
        <v>0</v>
      </c>
    </row>
    <row r="103" spans="1:10" x14ac:dyDescent="0.2">
      <c r="A103" s="146">
        <f>Overview!$C$21</f>
        <v>0</v>
      </c>
      <c r="B103" s="146" t="str">
        <f>Overview!$C$15</f>
        <v>2019-20</v>
      </c>
      <c r="C103" s="146" t="str">
        <f>'Scope guidance'!$D$32</f>
        <v>Operational Control Boundary</v>
      </c>
      <c r="D103" s="146" t="s">
        <v>46</v>
      </c>
      <c r="E103" s="146" t="s">
        <v>597</v>
      </c>
      <c r="F103" s="146" t="s">
        <v>535</v>
      </c>
      <c r="G103" s="146" t="s">
        <v>524</v>
      </c>
      <c r="H103" s="146">
        <f>'Scope 3'!E61</f>
        <v>0</v>
      </c>
      <c r="I103" s="146">
        <f>'Scope 3'!F61</f>
        <v>2.2090399999999999</v>
      </c>
      <c r="J103" s="146">
        <f>IF('Scope 3'!G61="Enter Consumption Figure",0,'Scope 3'!G61)</f>
        <v>0</v>
      </c>
    </row>
    <row r="104" spans="1:10" x14ac:dyDescent="0.2">
      <c r="A104" s="146">
        <f>Overview!$C$21</f>
        <v>0</v>
      </c>
      <c r="B104" s="146" t="str">
        <f>Overview!$C$15</f>
        <v>2019-20</v>
      </c>
      <c r="C104" s="146" t="str">
        <f>'Scope guidance'!$D$32</f>
        <v>Operational Control Boundary</v>
      </c>
      <c r="D104" s="146" t="s">
        <v>46</v>
      </c>
      <c r="E104" s="146" t="s">
        <v>597</v>
      </c>
      <c r="F104" s="146" t="s">
        <v>472</v>
      </c>
      <c r="G104" s="146" t="s">
        <v>524</v>
      </c>
      <c r="H104" s="146">
        <f>IF('Scope 3'!C35="Miles",0,'Scope 3'!E35)</f>
        <v>0</v>
      </c>
      <c r="I104" s="146">
        <f>IF('Scope 3'!C35="Miles",0,'Scope 3'!F35)</f>
        <v>2.5941100000000001</v>
      </c>
      <c r="J104" s="146">
        <f>IF(OR('Scope 3'!C35="Miles",'Scope 3'!G35="Enter Consumption Figure"),0,'Scope 3'!G35)</f>
        <v>0</v>
      </c>
    </row>
    <row r="105" spans="1:10" x14ac:dyDescent="0.2">
      <c r="A105" s="146">
        <f>Overview!$C$21</f>
        <v>0</v>
      </c>
      <c r="B105" s="146" t="str">
        <f>Overview!$C$15</f>
        <v>2019-20</v>
      </c>
      <c r="C105" s="146" t="str">
        <f>'Scope guidance'!$D$32</f>
        <v>Operational Control Boundary</v>
      </c>
      <c r="D105" s="146" t="s">
        <v>46</v>
      </c>
      <c r="E105" s="146" t="s">
        <v>597</v>
      </c>
      <c r="F105" s="146" t="s">
        <v>476</v>
      </c>
      <c r="G105" s="146" t="s">
        <v>524</v>
      </c>
      <c r="H105" s="146">
        <f>IF('Scope 3'!C36="Miles",0,'Scope 3'!E36)</f>
        <v>0</v>
      </c>
      <c r="I105" s="146">
        <f>IF('Scope 3'!C36="Miles",0,'Scope 3'!F36)</f>
        <v>2.5941100000000001</v>
      </c>
      <c r="J105" s="146">
        <f>IF(OR('Scope 3'!C36="Miles",'Scope 3'!G36="Enter Consumption Figure"),0,'Scope 3'!G36)</f>
        <v>0</v>
      </c>
    </row>
    <row r="106" spans="1:10" x14ac:dyDescent="0.2">
      <c r="A106" s="146">
        <f>Overview!$C$21</f>
        <v>0</v>
      </c>
      <c r="B106" s="146" t="str">
        <f>Overview!$C$15</f>
        <v>2019-20</v>
      </c>
      <c r="C106" s="146" t="str">
        <f>'Scope guidance'!$D$32</f>
        <v>Operational Control Boundary</v>
      </c>
      <c r="D106" s="146" t="s">
        <v>46</v>
      </c>
      <c r="E106" s="146" t="s">
        <v>597</v>
      </c>
      <c r="F106" s="146" t="s">
        <v>519</v>
      </c>
      <c r="G106" s="146" t="s">
        <v>524</v>
      </c>
      <c r="H106" s="146">
        <f>IF('Scope 3'!C37="Miles",0,'Scope 3'!E37)</f>
        <v>0</v>
      </c>
      <c r="I106" s="146">
        <f>IF('Scope 3'!C37="Miles",0,'Scope 3'!F37)</f>
        <v>2.5941100000000001</v>
      </c>
      <c r="J106" s="146">
        <f>IF(OR('Scope 3'!C37="Miles",'Scope 3'!G37="Enter Consumption Figure"),0,'Scope 3'!G37)</f>
        <v>0</v>
      </c>
    </row>
    <row r="107" spans="1:10" x14ac:dyDescent="0.2">
      <c r="A107" s="146">
        <f>Overview!$C$21</f>
        <v>0</v>
      </c>
      <c r="B107" s="146" t="str">
        <f>Overview!$C$15</f>
        <v>2019-20</v>
      </c>
      <c r="C107" s="146" t="str">
        <f>'Scope guidance'!$D$32</f>
        <v>Operational Control Boundary</v>
      </c>
      <c r="D107" s="146" t="s">
        <v>46</v>
      </c>
      <c r="E107" s="146" t="s">
        <v>597</v>
      </c>
      <c r="F107" s="146" t="s">
        <v>515</v>
      </c>
      <c r="G107" s="146" t="s">
        <v>524</v>
      </c>
      <c r="H107" s="146">
        <f>IF('Scope 3'!C38="Miles",0,'Scope 3'!E38)</f>
        <v>0</v>
      </c>
      <c r="I107" s="146">
        <f>IF('Scope 3'!C38="Miles",0,'Scope 3'!F38)</f>
        <v>2.5941100000000001</v>
      </c>
      <c r="J107" s="146">
        <f>IF(OR('Scope 3'!C38="Miles",'Scope 3'!G38="Enter Consumption Figure"),0,'Scope 3'!G38)</f>
        <v>0</v>
      </c>
    </row>
    <row r="108" spans="1:10" x14ac:dyDescent="0.2">
      <c r="A108" s="146">
        <f>Overview!$C$21</f>
        <v>0</v>
      </c>
      <c r="B108" s="146" t="str">
        <f>Overview!$C$15</f>
        <v>2019-20</v>
      </c>
      <c r="C108" s="146" t="str">
        <f>'Scope guidance'!$D$32</f>
        <v>Operational Control Boundary</v>
      </c>
      <c r="D108" s="146" t="s">
        <v>46</v>
      </c>
      <c r="E108" s="146" t="s">
        <v>597</v>
      </c>
      <c r="F108" s="146" t="s">
        <v>477</v>
      </c>
      <c r="G108" s="146" t="s">
        <v>524</v>
      </c>
      <c r="H108" s="146">
        <f>IF('Scope 3'!C39="Miles",0,'Scope 3'!E39)</f>
        <v>0</v>
      </c>
      <c r="I108" s="146">
        <f>IF('Scope 3'!C39="Miles",0,'Scope 3'!F39)</f>
        <v>2.5941100000000001</v>
      </c>
      <c r="J108" s="146">
        <f>IF(OR('Scope 3'!C39="Miles",'Scope 3'!G39="Enter Consumption Figure"),0,'Scope 3'!G39)</f>
        <v>0</v>
      </c>
    </row>
    <row r="109" spans="1:10" x14ac:dyDescent="0.2">
      <c r="A109" s="146">
        <f>Overview!$C$21</f>
        <v>0</v>
      </c>
      <c r="B109" s="146" t="str">
        <f>Overview!$C$15</f>
        <v>2019-20</v>
      </c>
      <c r="C109" s="146" t="str">
        <f>'Scope guidance'!$D$32</f>
        <v>Operational Control Boundary</v>
      </c>
      <c r="D109" s="146" t="s">
        <v>46</v>
      </c>
      <c r="E109" s="146" t="s">
        <v>597</v>
      </c>
      <c r="F109" s="146" t="s">
        <v>12</v>
      </c>
      <c r="G109" s="146" t="s">
        <v>524</v>
      </c>
      <c r="H109" s="146">
        <f>IF('Scope 3'!C40="Miles",0,'Scope 3'!E40)</f>
        <v>0</v>
      </c>
      <c r="I109" s="146">
        <f>IF('Scope 3'!C40="Miles",0,'Scope 3'!F40)</f>
        <v>2.5941100000000001</v>
      </c>
      <c r="J109" s="146">
        <f>IF(OR('Scope 3'!C40="Miles",'Scope 3'!G40="Enter Consumption Figure"),0,'Scope 3'!G40)</f>
        <v>0</v>
      </c>
    </row>
    <row r="110" spans="1:10" x14ac:dyDescent="0.2">
      <c r="A110" s="146">
        <f>Overview!$C$21</f>
        <v>0</v>
      </c>
      <c r="B110" s="146" t="str">
        <f>Overview!$C$15</f>
        <v>2019-20</v>
      </c>
      <c r="C110" s="146" t="str">
        <f>'Scope guidance'!$D$32</f>
        <v>Operational Control Boundary</v>
      </c>
      <c r="D110" s="146" t="s">
        <v>46</v>
      </c>
      <c r="E110" s="146" t="s">
        <v>597</v>
      </c>
      <c r="F110" s="146" t="s">
        <v>13</v>
      </c>
      <c r="G110" s="146" t="s">
        <v>524</v>
      </c>
      <c r="H110" s="146">
        <f>IF('Scope 3'!C41="Miles",0,'Scope 3'!E41)</f>
        <v>0</v>
      </c>
      <c r="I110" s="146">
        <f>IF('Scope 3'!C41="Miles",0,'Scope 3'!F41)</f>
        <v>2.5941100000000001</v>
      </c>
      <c r="J110" s="146">
        <f>IF(OR('Scope 3'!C41="Miles",'Scope 3'!G41="Enter Consumption Figure"),0,'Scope 3'!G41)</f>
        <v>0</v>
      </c>
    </row>
    <row r="111" spans="1:10" x14ac:dyDescent="0.2">
      <c r="A111" s="146">
        <f>Overview!$C$21</f>
        <v>0</v>
      </c>
      <c r="B111" s="146" t="str">
        <f>Overview!$C$15</f>
        <v>2019-20</v>
      </c>
      <c r="C111" s="146" t="str">
        <f>'Scope guidance'!$D$32</f>
        <v>Operational Control Boundary</v>
      </c>
      <c r="D111" s="146" t="s">
        <v>46</v>
      </c>
      <c r="E111" s="146" t="s">
        <v>597</v>
      </c>
      <c r="F111" s="146" t="s">
        <v>14</v>
      </c>
      <c r="G111" s="146" t="s">
        <v>524</v>
      </c>
      <c r="H111" s="146">
        <f>IF('Scope 3'!C42="Miles",0,'Scope 3'!E42)</f>
        <v>0</v>
      </c>
      <c r="I111" s="146">
        <f>IF('Scope 3'!C42="Miles",0,'Scope 3'!F42)</f>
        <v>2.5941100000000001</v>
      </c>
      <c r="J111" s="146">
        <f>IF(OR('Scope 3'!C42="Miles",'Scope 3'!G42="Enter Consumption Figure"),0,'Scope 3'!G42)</f>
        <v>0</v>
      </c>
    </row>
    <row r="112" spans="1:10" x14ac:dyDescent="0.2">
      <c r="A112" s="146">
        <f>Overview!$C$21</f>
        <v>0</v>
      </c>
      <c r="B112" s="146" t="str">
        <f>Overview!$C$15</f>
        <v>2019-20</v>
      </c>
      <c r="C112" s="146" t="str">
        <f>'Scope guidance'!$D$32</f>
        <v>Operational Control Boundary</v>
      </c>
      <c r="D112" s="146" t="s">
        <v>46</v>
      </c>
      <c r="E112" s="146" t="s">
        <v>597</v>
      </c>
      <c r="F112" s="146" t="s">
        <v>516</v>
      </c>
      <c r="G112" s="146" t="s">
        <v>524</v>
      </c>
      <c r="H112" s="146">
        <f>IF('Scope 3'!C43="Miles",0,'Scope 3'!E43)</f>
        <v>0</v>
      </c>
      <c r="I112" s="146">
        <f>IF('Scope 3'!C43="Miles",0,'Scope 3'!F43)</f>
        <v>2.5941100000000001</v>
      </c>
      <c r="J112" s="146">
        <f>IF(OR('Scope 3'!C43="Miles",'Scope 3'!G43="Enter Consumption Figure"),0,'Scope 3'!G43)</f>
        <v>0</v>
      </c>
    </row>
    <row r="113" spans="1:10" x14ac:dyDescent="0.2">
      <c r="A113" s="146">
        <f>Overview!$C$21</f>
        <v>0</v>
      </c>
      <c r="B113" s="146" t="str">
        <f>Overview!$C$15</f>
        <v>2019-20</v>
      </c>
      <c r="C113" s="146" t="str">
        <f>'Scope guidance'!$D$32</f>
        <v>Operational Control Boundary</v>
      </c>
      <c r="D113" s="146" t="s">
        <v>46</v>
      </c>
      <c r="E113" s="146" t="s">
        <v>597</v>
      </c>
      <c r="F113" s="146" t="s">
        <v>517</v>
      </c>
      <c r="G113" s="146" t="s">
        <v>524</v>
      </c>
      <c r="H113" s="146">
        <f>IF('Scope 3'!C44="Miles",0,'Scope 3'!E44)</f>
        <v>0</v>
      </c>
      <c r="I113" s="146">
        <f>IF('Scope 3'!C44="Miles",0,'Scope 3'!F44)</f>
        <v>2.2090399999999999</v>
      </c>
      <c r="J113" s="146">
        <f>IF(OR('Scope 3'!C44="Miles",'Scope 3'!G44="Enter Consumption Figure"),0,'Scope 3'!G44)</f>
        <v>0</v>
      </c>
    </row>
    <row r="114" spans="1:10" x14ac:dyDescent="0.2">
      <c r="A114" s="146">
        <f>Overview!$C$21</f>
        <v>0</v>
      </c>
      <c r="B114" s="146" t="str">
        <f>Overview!$C$15</f>
        <v>2019-20</v>
      </c>
      <c r="C114" s="146" t="str">
        <f>'Scope guidance'!$D$32</f>
        <v>Operational Control Boundary</v>
      </c>
      <c r="D114" s="146" t="s">
        <v>46</v>
      </c>
      <c r="E114" s="146" t="s">
        <v>597</v>
      </c>
      <c r="F114" s="146" t="s">
        <v>521</v>
      </c>
      <c r="G114" s="146" t="s">
        <v>524</v>
      </c>
      <c r="H114" s="146">
        <f>IF('Scope 3'!C45="Miles",0,'Scope 3'!E45)</f>
        <v>0</v>
      </c>
      <c r="I114" s="146">
        <f>IF('Scope 3'!C45="Miles",0,'Scope 3'!F45)</f>
        <v>2.2090399999999999</v>
      </c>
      <c r="J114" s="146">
        <f>IF(OR('Scope 3'!C45="Miles",'Scope 3'!G45="Enter Consumption Figure"),0,'Scope 3'!G45)</f>
        <v>0</v>
      </c>
    </row>
    <row r="115" spans="1:10" x14ac:dyDescent="0.2">
      <c r="A115" s="146">
        <f>Overview!$C$21</f>
        <v>0</v>
      </c>
      <c r="B115" s="146" t="str">
        <f>Overview!$C$15</f>
        <v>2019-20</v>
      </c>
      <c r="C115" s="146" t="str">
        <f>'Scope guidance'!$D$32</f>
        <v>Operational Control Boundary</v>
      </c>
      <c r="D115" s="146" t="s">
        <v>46</v>
      </c>
      <c r="E115" s="146" t="s">
        <v>597</v>
      </c>
      <c r="F115" s="146" t="s">
        <v>522</v>
      </c>
      <c r="G115" s="146" t="s">
        <v>524</v>
      </c>
      <c r="H115" s="146">
        <f>IF('Scope 3'!C46="Miles",0,'Scope 3'!E46)</f>
        <v>0</v>
      </c>
      <c r="I115" s="146">
        <f>IF('Scope 3'!C46="Miles",0,'Scope 3'!F46)</f>
        <v>2.2090399999999999</v>
      </c>
      <c r="J115" s="146">
        <f>IF(OR('Scope 3'!C46="Miles",'Scope 3'!G46="Enter Consumption Figure"),0,'Scope 3'!G46)</f>
        <v>0</v>
      </c>
    </row>
    <row r="116" spans="1:10" x14ac:dyDescent="0.2">
      <c r="A116" s="146">
        <f>Overview!$C$21</f>
        <v>0</v>
      </c>
      <c r="B116" s="146" t="str">
        <f>Overview!$C$15</f>
        <v>2019-20</v>
      </c>
      <c r="C116" s="146" t="str">
        <f>'Scope guidance'!$D$32</f>
        <v>Operational Control Boundary</v>
      </c>
      <c r="D116" s="146" t="s">
        <v>46</v>
      </c>
      <c r="E116" s="146" t="s">
        <v>597</v>
      </c>
      <c r="F116" s="146" t="s">
        <v>518</v>
      </c>
      <c r="G116" s="146" t="s">
        <v>524</v>
      </c>
      <c r="H116" s="146">
        <f>IF('Scope 3'!C47="Miles",0,'Scope 3'!E47)</f>
        <v>0</v>
      </c>
      <c r="I116" s="146">
        <f>IF('Scope 3'!C47="Miles",0,'Scope 3'!F47)</f>
        <v>2.2090399999999999</v>
      </c>
      <c r="J116" s="146">
        <f>IF(OR('Scope 3'!C47="Miles",'Scope 3'!G47="Enter Consumption Figure"),0,'Scope 3'!G47)</f>
        <v>0</v>
      </c>
    </row>
    <row r="117" spans="1:10" x14ac:dyDescent="0.2">
      <c r="A117" s="146">
        <f>Overview!$C$21</f>
        <v>0</v>
      </c>
      <c r="B117" s="146" t="str">
        <f>Overview!$C$15</f>
        <v>2019-20</v>
      </c>
      <c r="C117" s="146" t="str">
        <f>'Scope guidance'!$D$32</f>
        <v>Operational Control Boundary</v>
      </c>
      <c r="D117" s="146" t="s">
        <v>46</v>
      </c>
      <c r="E117" s="146" t="s">
        <v>597</v>
      </c>
      <c r="F117" s="146" t="s">
        <v>544</v>
      </c>
      <c r="G117" s="146" t="s">
        <v>524</v>
      </c>
      <c r="H117" s="146">
        <f>IF('Scope 3'!C48="Miles",0,'Scope 3'!E48)</f>
        <v>0</v>
      </c>
      <c r="I117" s="146">
        <f>IF('Scope 3'!C48="Miles",0,'Scope 3'!F48)</f>
        <v>2.2090399999999999</v>
      </c>
      <c r="J117" s="146">
        <f>IF(OR('Scope 3'!C48="Miles",'Scope 3'!G48="Enter Consumption Figure"),0,'Scope 3'!G48)</f>
        <v>0</v>
      </c>
    </row>
    <row r="118" spans="1:10" x14ac:dyDescent="0.2">
      <c r="A118" s="146">
        <f>Overview!$C$21</f>
        <v>0</v>
      </c>
      <c r="B118" s="146" t="str">
        <f>Overview!$C$15</f>
        <v>2019-20</v>
      </c>
      <c r="C118" s="146" t="str">
        <f>'Scope guidance'!$D$32</f>
        <v>Operational Control Boundary</v>
      </c>
      <c r="D118" s="146" t="s">
        <v>46</v>
      </c>
      <c r="E118" s="146" t="s">
        <v>597</v>
      </c>
      <c r="F118" s="146" t="s">
        <v>545</v>
      </c>
      <c r="G118" s="146" t="s">
        <v>524</v>
      </c>
      <c r="H118" s="146">
        <f>IF('Scope 3'!C49="Miles",0,'Scope 3'!E49)</f>
        <v>0</v>
      </c>
      <c r="I118" s="146">
        <f>IF('Scope 3'!C49="Miles",0,'Scope 3'!F49)</f>
        <v>2.2090399999999999</v>
      </c>
      <c r="J118" s="146">
        <f>IF(OR('Scope 3'!C49="Miles",'Scope 3'!G49="Enter Consumption Figure"),0,'Scope 3'!G49)</f>
        <v>0</v>
      </c>
    </row>
    <row r="119" spans="1:10" x14ac:dyDescent="0.2">
      <c r="A119" s="146">
        <f>Overview!$C$21</f>
        <v>0</v>
      </c>
      <c r="B119" s="146" t="str">
        <f>Overview!$C$15</f>
        <v>2019-20</v>
      </c>
      <c r="C119" s="146" t="str">
        <f>'Scope guidance'!$D$32</f>
        <v>Operational Control Boundary</v>
      </c>
      <c r="D119" s="146" t="s">
        <v>46</v>
      </c>
      <c r="E119" s="146" t="s">
        <v>597</v>
      </c>
      <c r="F119" s="146" t="s">
        <v>537</v>
      </c>
      <c r="G119" s="146" t="s">
        <v>524</v>
      </c>
      <c r="H119" s="146">
        <f>IF('Scope 3'!C50="Miles",0,'Scope 3'!E50)</f>
        <v>0</v>
      </c>
      <c r="I119" s="146">
        <f>IF('Scope 3'!C50="Miles",0,'Scope 3'!F50)</f>
        <v>0</v>
      </c>
      <c r="J119" s="146">
        <f>IF(OR('Scope 3'!C50="Miles",'Scope 3'!G50="Enter Consumption Figure"),0,'Scope 3'!G50)</f>
        <v>0</v>
      </c>
    </row>
    <row r="120" spans="1:10" x14ac:dyDescent="0.2">
      <c r="A120" s="146">
        <f>Overview!$C$21</f>
        <v>0</v>
      </c>
      <c r="B120" s="146" t="str">
        <f>Overview!$C$15</f>
        <v>2019-20</v>
      </c>
      <c r="C120" s="146" t="str">
        <f>'Scope guidance'!$D$32</f>
        <v>Operational Control Boundary</v>
      </c>
      <c r="D120" s="146" t="s">
        <v>46</v>
      </c>
      <c r="E120" s="146" t="s">
        <v>597</v>
      </c>
      <c r="F120" s="146" t="s">
        <v>528</v>
      </c>
      <c r="G120" s="146" t="s">
        <v>524</v>
      </c>
      <c r="H120" s="146">
        <f>IF('Scope 3'!C51="Miles",0,'Scope 3'!E51)</f>
        <v>0</v>
      </c>
      <c r="I120" s="146">
        <f>IF('Scope 3'!C51="Miles",0,'Scope 3'!F51)</f>
        <v>0</v>
      </c>
      <c r="J120" s="146">
        <f>IF(OR('Scope 3'!C51="Miles",'Scope 3'!G51="Enter Consumption Figure"),0,'Scope 3'!G51)</f>
        <v>0</v>
      </c>
    </row>
    <row r="121" spans="1:10" x14ac:dyDescent="0.2">
      <c r="A121" s="146">
        <f>Overview!$C$21</f>
        <v>0</v>
      </c>
      <c r="B121" s="146" t="str">
        <f>Overview!$C$15</f>
        <v>2019-20</v>
      </c>
      <c r="C121" s="146" t="str">
        <f>'Scope guidance'!$D$32</f>
        <v>Operational Control Boundary</v>
      </c>
      <c r="D121" s="146" t="s">
        <v>46</v>
      </c>
      <c r="E121" s="146" t="s">
        <v>597</v>
      </c>
      <c r="F121" s="146" t="s">
        <v>529</v>
      </c>
      <c r="G121" s="146" t="s">
        <v>524</v>
      </c>
      <c r="H121" s="146">
        <f>IF('Scope 3'!C52="Miles",0,'Scope 3'!E52)</f>
        <v>0</v>
      </c>
      <c r="I121" s="146">
        <f>IF('Scope 3'!C52="Miles",0,'Scope 3'!F52)</f>
        <v>2.5941100000000001</v>
      </c>
      <c r="J121" s="146">
        <f>IF(OR('Scope 3'!C52="Miles",'Scope 3'!G52="Enter Consumption Figure"),0,'Scope 3'!G52)</f>
        <v>0</v>
      </c>
    </row>
    <row r="122" spans="1:10" x14ac:dyDescent="0.2">
      <c r="A122" s="146">
        <f>Overview!$C$21</f>
        <v>0</v>
      </c>
      <c r="B122" s="146" t="str">
        <f>Overview!$C$15</f>
        <v>2019-20</v>
      </c>
      <c r="C122" s="146" t="str">
        <f>'Scope guidance'!$D$32</f>
        <v>Operational Control Boundary</v>
      </c>
      <c r="D122" s="146" t="s">
        <v>46</v>
      </c>
      <c r="E122" s="146" t="s">
        <v>597</v>
      </c>
      <c r="F122" s="146" t="s">
        <v>534</v>
      </c>
      <c r="G122" s="146" t="s">
        <v>524</v>
      </c>
      <c r="H122" s="146">
        <f>IF('Scope 3'!C53="Miles",0,'Scope 3'!E53)</f>
        <v>0</v>
      </c>
      <c r="I122" s="146">
        <f>IF('Scope 3'!C53="Miles",0,'Scope 3'!F53)</f>
        <v>2.5941100000000001</v>
      </c>
      <c r="J122" s="146">
        <f>IF(OR('Scope 3'!C53="Miles",'Scope 3'!G53="Enter Consumption Figure"),0,'Scope 3'!G53)</f>
        <v>0</v>
      </c>
    </row>
    <row r="123" spans="1:10" x14ac:dyDescent="0.2">
      <c r="A123" s="146">
        <f>Overview!$C$21</f>
        <v>0</v>
      </c>
      <c r="B123" s="146" t="str">
        <f>Overview!$C$15</f>
        <v>2019-20</v>
      </c>
      <c r="C123" s="146" t="str">
        <f>'Scope guidance'!$D$32</f>
        <v>Operational Control Boundary</v>
      </c>
      <c r="D123" s="146" t="s">
        <v>46</v>
      </c>
      <c r="E123" s="146" t="s">
        <v>597</v>
      </c>
      <c r="F123" s="146" t="s">
        <v>530</v>
      </c>
      <c r="G123" s="146" t="s">
        <v>524</v>
      </c>
      <c r="H123" s="146">
        <f>IF('Scope 3'!C54="Miles",0,'Scope 3'!E54)</f>
        <v>0</v>
      </c>
      <c r="I123" s="146">
        <f>IF('Scope 3'!C54="Miles",0,'Scope 3'!F54)</f>
        <v>2.5941100000000001</v>
      </c>
      <c r="J123" s="146">
        <f>IF(OR('Scope 3'!C54="Miles",'Scope 3'!G54="Enter Consumption Figure"),0,'Scope 3'!G54)</f>
        <v>0</v>
      </c>
    </row>
    <row r="124" spans="1:10" x14ac:dyDescent="0.2">
      <c r="A124" s="146">
        <f>Overview!$C$21</f>
        <v>0</v>
      </c>
      <c r="B124" s="146" t="str">
        <f>Overview!$C$15</f>
        <v>2019-20</v>
      </c>
      <c r="C124" s="146" t="str">
        <f>'Scope guidance'!$D$32</f>
        <v>Operational Control Boundary</v>
      </c>
      <c r="D124" s="146" t="s">
        <v>46</v>
      </c>
      <c r="E124" s="146" t="s">
        <v>597</v>
      </c>
      <c r="F124" s="146" t="s">
        <v>531</v>
      </c>
      <c r="G124" s="146" t="s">
        <v>524</v>
      </c>
      <c r="H124" s="146">
        <f>IF('Scope 3'!C55="Miles",0,'Scope 3'!E55)</f>
        <v>0</v>
      </c>
      <c r="I124" s="146">
        <f>IF('Scope 3'!C55="Miles",0,'Scope 3'!F55)</f>
        <v>2.5941100000000001</v>
      </c>
      <c r="J124" s="146">
        <f>IF(OR('Scope 3'!C55="Miles",'Scope 3'!G55="Enter Consumption Figure"),0,'Scope 3'!G55)</f>
        <v>0</v>
      </c>
    </row>
    <row r="125" spans="1:10" x14ac:dyDescent="0.2">
      <c r="A125" s="146">
        <f>Overview!$C$21</f>
        <v>0</v>
      </c>
      <c r="B125" s="146" t="str">
        <f>Overview!$C$15</f>
        <v>2019-20</v>
      </c>
      <c r="C125" s="146" t="str">
        <f>'Scope guidance'!$D$32</f>
        <v>Operational Control Boundary</v>
      </c>
      <c r="D125" s="146" t="s">
        <v>46</v>
      </c>
      <c r="E125" s="146" t="s">
        <v>597</v>
      </c>
      <c r="F125" s="146" t="s">
        <v>533</v>
      </c>
      <c r="G125" s="146" t="s">
        <v>524</v>
      </c>
      <c r="H125" s="146">
        <f>IF('Scope 3'!C56="Miles",0,'Scope 3'!E56)</f>
        <v>0</v>
      </c>
      <c r="I125" s="146">
        <f>IF('Scope 3'!C56="Miles",0,'Scope 3'!F56)</f>
        <v>2.5941100000000001</v>
      </c>
      <c r="J125" s="146">
        <f>IF(OR('Scope 3'!C56="Miles",'Scope 3'!G56="Enter Consumption Figure"),0,'Scope 3'!G56)</f>
        <v>0</v>
      </c>
    </row>
    <row r="126" spans="1:10" x14ac:dyDescent="0.2">
      <c r="A126" s="146">
        <f>Overview!$C$21</f>
        <v>0</v>
      </c>
      <c r="B126" s="146" t="str">
        <f>Overview!$C$15</f>
        <v>2019-20</v>
      </c>
      <c r="C126" s="146" t="str">
        <f>'Scope guidance'!$D$32</f>
        <v>Operational Control Boundary</v>
      </c>
      <c r="D126" s="146" t="s">
        <v>46</v>
      </c>
      <c r="E126" s="146" t="s">
        <v>597</v>
      </c>
      <c r="F126" s="146" t="s">
        <v>532</v>
      </c>
      <c r="G126" s="146" t="s">
        <v>524</v>
      </c>
      <c r="H126" s="146">
        <f>IF('Scope 3'!C57="Miles",0,'Scope 3'!E57)</f>
        <v>0</v>
      </c>
      <c r="I126" s="146">
        <f>IF('Scope 3'!C57="Miles",0,'Scope 3'!F57)</f>
        <v>2.5941100000000001</v>
      </c>
      <c r="J126" s="146">
        <f>IF(OR('Scope 3'!C57="Miles",'Scope 3'!G57="Enter Consumption Figure"),0,'Scope 3'!G57)</f>
        <v>0</v>
      </c>
    </row>
    <row r="127" spans="1:10" x14ac:dyDescent="0.2">
      <c r="A127" s="146">
        <f>Overview!$C$21</f>
        <v>0</v>
      </c>
      <c r="B127" s="146" t="str">
        <f>Overview!$C$15</f>
        <v>2019-20</v>
      </c>
      <c r="C127" s="146" t="str">
        <f>'Scope guidance'!$D$32</f>
        <v>Operational Control Boundary</v>
      </c>
      <c r="D127" s="146" t="s">
        <v>46</v>
      </c>
      <c r="E127" s="146" t="s">
        <v>597</v>
      </c>
      <c r="F127" s="146" t="s">
        <v>520</v>
      </c>
      <c r="G127" s="146" t="s">
        <v>25</v>
      </c>
      <c r="H127" s="146">
        <f>IF('Scope 3'!C58="Miles",0,'Scope 3'!E58)</f>
        <v>0</v>
      </c>
      <c r="I127" s="146">
        <f>IF('Scope 3'!C58="Miles",0,'Scope 3'!F58)</f>
        <v>2.5941100000000001</v>
      </c>
      <c r="J127" s="146">
        <f>IF(OR('Scope 3'!C58="Miles",'Scope 3'!G58="Enter Consumption Figure"),0,'Scope 3'!G58)</f>
        <v>0</v>
      </c>
    </row>
    <row r="128" spans="1:10" x14ac:dyDescent="0.2">
      <c r="A128" s="146">
        <f>Overview!$C$21</f>
        <v>0</v>
      </c>
      <c r="B128" s="146" t="str">
        <f>Overview!$C$15</f>
        <v>2019-20</v>
      </c>
      <c r="C128" s="146" t="str">
        <f>'Scope guidance'!$D$32</f>
        <v>Operational Control Boundary</v>
      </c>
      <c r="D128" s="146" t="s">
        <v>46</v>
      </c>
      <c r="E128" s="146" t="s">
        <v>597</v>
      </c>
      <c r="F128" s="146" t="s">
        <v>520</v>
      </c>
      <c r="G128" s="146" t="s">
        <v>25</v>
      </c>
      <c r="H128" s="146">
        <f>IF('Scope 3'!C59="Miles",0,'Scope 3'!E59)</f>
        <v>0</v>
      </c>
      <c r="I128" s="146">
        <f>IF('Scope 3'!C59="Miles",0,'Scope 3'!F59)</f>
        <v>2.5941100000000001</v>
      </c>
      <c r="J128" s="146">
        <f>IF(OR('Scope 3'!C59="Miles",'Scope 3'!G59="Enter Consumption Figure"),0,'Scope 3'!G59)</f>
        <v>0</v>
      </c>
    </row>
    <row r="129" spans="1:10" x14ac:dyDescent="0.2">
      <c r="A129" s="146">
        <f>Overview!$C$21</f>
        <v>0</v>
      </c>
      <c r="B129" s="146" t="str">
        <f>Overview!$C$15</f>
        <v>2019-20</v>
      </c>
      <c r="C129" s="146" t="str">
        <f>'Scope guidance'!$D$32</f>
        <v>Operational Control Boundary</v>
      </c>
      <c r="D129" s="146" t="s">
        <v>46</v>
      </c>
      <c r="E129" s="146" t="s">
        <v>540</v>
      </c>
      <c r="F129" s="146" t="s">
        <v>538</v>
      </c>
      <c r="G129" s="146" t="s">
        <v>26</v>
      </c>
      <c r="H129" s="146">
        <f>'Scope 3'!E66</f>
        <v>30137375.195700001</v>
      </c>
      <c r="I129" s="146">
        <f>'Scope 3'!F66</f>
        <v>2.1700000000000001E-2</v>
      </c>
      <c r="J129" s="146">
        <f>IF('Scope 3'!G66="Enter Consumption Figure",0,'Scope 3'!G66)</f>
        <v>653.98104174669004</v>
      </c>
    </row>
    <row r="130" spans="1:10" x14ac:dyDescent="0.2">
      <c r="A130" s="146">
        <f>Overview!$C$21</f>
        <v>0</v>
      </c>
      <c r="B130" s="146" t="str">
        <f>Overview!$C$15</f>
        <v>2019-20</v>
      </c>
      <c r="C130" s="146" t="str">
        <f>'Scope guidance'!$D$32</f>
        <v>Operational Control Boundary</v>
      </c>
      <c r="D130" s="146" t="s">
        <v>46</v>
      </c>
      <c r="E130" s="146" t="s">
        <v>540</v>
      </c>
      <c r="F130" s="146" t="s">
        <v>507</v>
      </c>
      <c r="G130" s="146" t="s">
        <v>25</v>
      </c>
      <c r="H130" s="146">
        <f>'Scope 3'!E67</f>
        <v>0</v>
      </c>
      <c r="I130" s="146">
        <f>'Scope 3'!F67</f>
        <v>7.5799999999999999E-3</v>
      </c>
      <c r="J130" s="146">
        <f>IF('Scope 3'!G67="Enter Consumption Figure",0,'Scope 3'!G67)</f>
        <v>0</v>
      </c>
    </row>
    <row r="131" spans="1:10" x14ac:dyDescent="0.2">
      <c r="A131" s="146">
        <f>Overview!$C$21</f>
        <v>0</v>
      </c>
      <c r="B131" s="146" t="str">
        <f>Overview!$C$15</f>
        <v>2019-20</v>
      </c>
      <c r="C131" s="146" t="str">
        <f>'Scope guidance'!$D$32</f>
        <v>Operational Control Boundary</v>
      </c>
      <c r="D131" s="146" t="s">
        <v>46</v>
      </c>
      <c r="E131" s="146" t="s">
        <v>23</v>
      </c>
      <c r="F131" s="146" t="s">
        <v>29</v>
      </c>
      <c r="G131" s="146" t="s">
        <v>30</v>
      </c>
      <c r="H131" s="146">
        <f>'Scope 3'!E72</f>
        <v>118767</v>
      </c>
      <c r="I131" s="146">
        <f>'Scope 3'!F72</f>
        <v>0.34399999999999997</v>
      </c>
      <c r="J131" s="146">
        <f>IF('Scope 3'!G72="Enter Consumption Figure",0,'Scope 3'!G72)</f>
        <v>40.855847999999995</v>
      </c>
    </row>
    <row r="132" spans="1:10" x14ac:dyDescent="0.2">
      <c r="A132" s="146">
        <f>Overview!$C$21</f>
        <v>0</v>
      </c>
      <c r="B132" s="146" t="str">
        <f>Overview!$C$15</f>
        <v>2019-20</v>
      </c>
      <c r="C132" s="146" t="str">
        <f>'Scope guidance'!$D$32</f>
        <v>Operational Control Boundary</v>
      </c>
      <c r="D132" s="146" t="s">
        <v>46</v>
      </c>
      <c r="E132" s="146" t="s">
        <v>23</v>
      </c>
      <c r="F132" s="146" t="s">
        <v>31</v>
      </c>
      <c r="G132" s="146" t="s">
        <v>30</v>
      </c>
      <c r="H132" s="146">
        <f>'Scope 3'!E73</f>
        <v>109189.45</v>
      </c>
      <c r="I132" s="146">
        <f>'Scope 3'!F73</f>
        <v>0.70799999999999996</v>
      </c>
      <c r="J132" s="146">
        <f>IF('Scope 3'!G73="Enter Consumption Figure",0,'Scope 3'!G73)</f>
        <v>77.306130599999989</v>
      </c>
    </row>
  </sheetData>
  <phoneticPr fontId="11"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8B702-FE3C-4519-A98A-308821E97CE4}">
  <sheetPr>
    <tabColor rgb="FF253746"/>
  </sheetPr>
  <dimension ref="B1:DK33"/>
  <sheetViews>
    <sheetView showGridLines="0" zoomScale="40" zoomScaleNormal="40" workbookViewId="0">
      <pane xSplit="3" ySplit="16" topLeftCell="D17" activePane="bottomRight" state="frozen"/>
      <selection pane="topRight" activeCell="D1" sqref="D1"/>
      <selection pane="bottomLeft" activeCell="A17" sqref="A17"/>
      <selection pane="bottomRight" activeCell="AH23" sqref="AH23:AO23"/>
    </sheetView>
  </sheetViews>
  <sheetFormatPr defaultColWidth="8.75" defaultRowHeight="14.25" x14ac:dyDescent="0.2"/>
  <cols>
    <col min="2" max="2" width="22.75" bestFit="1" customWidth="1"/>
    <col min="4" max="4" width="11.25" customWidth="1"/>
    <col min="5" max="5" width="21.625" customWidth="1"/>
    <col min="6" max="6" width="7.125" customWidth="1"/>
    <col min="7" max="8" width="12.75" customWidth="1"/>
    <col min="9" max="9" width="22.375" customWidth="1"/>
    <col min="10" max="10" width="12.75" customWidth="1"/>
    <col min="11" max="11" width="17.75" customWidth="1"/>
    <col min="12" max="12" width="21.625" customWidth="1"/>
    <col min="13" max="13" width="7.125" customWidth="1"/>
    <col min="14" max="14" width="7.5" customWidth="1"/>
    <col min="15" max="15" width="8.75" customWidth="1"/>
    <col min="16" max="16" width="12.75" customWidth="1"/>
    <col min="17" max="17" width="24.5" customWidth="1"/>
    <col min="18" max="18" width="30" customWidth="1"/>
    <col min="19" max="19" width="24.625" customWidth="1"/>
    <col min="20" max="20" width="12.25" customWidth="1"/>
    <col min="21" max="21" width="36" customWidth="1"/>
    <col min="22" max="22" width="37.75" customWidth="1"/>
    <col min="23" max="23" width="36.25" customWidth="1"/>
    <col min="24" max="24" width="10.25" customWidth="1"/>
    <col min="25" max="25" width="8" customWidth="1"/>
    <col min="26" max="26" width="25.75" customWidth="1"/>
    <col min="27" max="27" width="29.25" customWidth="1"/>
    <col min="28" max="28" width="24.5" customWidth="1"/>
    <col min="29" max="29" width="15.75" customWidth="1"/>
    <col min="30" max="30" width="18.125" customWidth="1"/>
    <col min="31" max="31" width="15.75" customWidth="1"/>
    <col min="32" max="32" width="15.25" customWidth="1"/>
    <col min="33" max="33" width="34.625" customWidth="1"/>
    <col min="34" max="34" width="27.25" customWidth="1"/>
    <col min="35" max="35" width="32.625" customWidth="1"/>
    <col min="36" max="36" width="22.25" customWidth="1"/>
    <col min="37" max="37" width="14.25" customWidth="1"/>
    <col min="38" max="38" width="25.75" customWidth="1"/>
    <col min="39" max="39" width="21.25" customWidth="1"/>
    <col min="40" max="40" width="19.625" customWidth="1"/>
    <col min="41" max="41" width="9.125" customWidth="1"/>
    <col min="42" max="42" width="28.625" customWidth="1"/>
    <col min="43" max="43" width="28.25" customWidth="1"/>
    <col min="44" max="52" width="20.25" customWidth="1"/>
    <col min="53" max="56" width="33.25" customWidth="1"/>
    <col min="57" max="57" width="52.625" customWidth="1"/>
    <col min="58" max="58" width="36.625" customWidth="1"/>
    <col min="59" max="59" width="34.625" customWidth="1"/>
    <col min="60" max="60" width="25.75" customWidth="1"/>
    <col min="61" max="61" width="29.25" customWidth="1"/>
    <col min="62" max="63" width="24.5" customWidth="1"/>
    <col min="64" max="64" width="29.5" customWidth="1"/>
    <col min="65" max="65" width="24.625" customWidth="1"/>
    <col min="66" max="66" width="15.75" customWidth="1"/>
    <col min="67" max="67" width="18.125" customWidth="1"/>
    <col min="68" max="68" width="15.75" customWidth="1"/>
    <col min="69" max="69" width="18.25" customWidth="1"/>
    <col min="70" max="70" width="31" customWidth="1"/>
    <col min="71" max="71" width="39.75" customWidth="1"/>
    <col min="72" max="72" width="13.125" customWidth="1"/>
    <col min="73" max="73" width="16.25" customWidth="1"/>
    <col min="74" max="74" width="17.5" customWidth="1"/>
    <col min="75" max="75" width="25" customWidth="1"/>
    <col min="76" max="76" width="30.375" customWidth="1"/>
    <col min="77" max="77" width="29.875" customWidth="1"/>
    <col min="78" max="78" width="27.5" customWidth="1"/>
    <col min="79" max="79" width="25.25" bestFit="1" customWidth="1"/>
    <col min="80" max="80" width="30" customWidth="1"/>
    <col min="81" max="81" width="30.25" customWidth="1"/>
    <col min="82" max="82" width="26.75" bestFit="1" customWidth="1"/>
    <col min="83" max="84" width="31.25" customWidth="1"/>
    <col min="85" max="85" width="27.5" customWidth="1"/>
    <col min="86" max="86" width="27.125" customWidth="1"/>
    <col min="87" max="87" width="9" bestFit="1" customWidth="1"/>
    <col min="88" max="88" width="8.75" customWidth="1"/>
    <col min="89" max="89" width="17.25" bestFit="1" customWidth="1"/>
    <col min="90" max="90" width="13" bestFit="1" customWidth="1"/>
    <col min="91" max="91" width="39.25" bestFit="1" customWidth="1"/>
    <col min="92" max="94" width="39.25" customWidth="1"/>
    <col min="95" max="95" width="33" bestFit="1" customWidth="1"/>
    <col min="96" max="96" width="41.375" bestFit="1" customWidth="1"/>
    <col min="97" max="97" width="47.625" bestFit="1" customWidth="1"/>
    <col min="98" max="98" width="43" bestFit="1" customWidth="1"/>
    <col min="99" max="99" width="38.25" bestFit="1" customWidth="1"/>
    <col min="100" max="100" width="18.75" bestFit="1" customWidth="1"/>
    <col min="101" max="101" width="28.25" bestFit="1" customWidth="1"/>
    <col min="102" max="102" width="23.75" bestFit="1" customWidth="1"/>
    <col min="103" max="103" width="23.375" bestFit="1" customWidth="1"/>
    <col min="104" max="104" width="23.25" bestFit="1" customWidth="1"/>
    <col min="105" max="105" width="32.75" bestFit="1" customWidth="1"/>
    <col min="106" max="106" width="28.25" bestFit="1" customWidth="1"/>
    <col min="107" max="107" width="31.625" bestFit="1" customWidth="1"/>
    <col min="108" max="108" width="31.375" bestFit="1" customWidth="1"/>
    <col min="109" max="109" width="40.75" bestFit="1" customWidth="1"/>
    <col min="110" max="110" width="36.25" bestFit="1" customWidth="1"/>
    <col min="111" max="113" width="36.25" customWidth="1"/>
    <col min="114" max="114" width="23.125" bestFit="1" customWidth="1"/>
  </cols>
  <sheetData>
    <row r="1" spans="2:115" s="1" customFormat="1" x14ac:dyDescent="0.2"/>
    <row r="2" spans="2:115" s="1" customFormat="1" x14ac:dyDescent="0.2"/>
    <row r="3" spans="2:115" s="1" customFormat="1" x14ac:dyDescent="0.2"/>
    <row r="4" spans="2:115" s="1" customFormat="1" x14ac:dyDescent="0.2">
      <c r="G4"/>
      <c r="H4"/>
      <c r="I4"/>
      <c r="J4"/>
      <c r="K4"/>
      <c r="L4"/>
      <c r="M4"/>
      <c r="N4"/>
      <c r="O4"/>
      <c r="P4"/>
      <c r="Q4"/>
      <c r="R4"/>
      <c r="S4"/>
      <c r="CM4" s="154"/>
      <c r="CN4" s="154"/>
      <c r="CO4" s="154"/>
      <c r="CP4" s="154"/>
    </row>
    <row r="5" spans="2:115" s="1" customFormat="1" x14ac:dyDescent="0.2">
      <c r="G5"/>
      <c r="H5"/>
      <c r="I5"/>
      <c r="J5"/>
      <c r="K5"/>
      <c r="L5"/>
      <c r="M5"/>
      <c r="N5"/>
      <c r="O5"/>
      <c r="P5"/>
      <c r="Q5"/>
      <c r="R5"/>
      <c r="S5"/>
      <c r="CM5" s="56"/>
      <c r="CN5" s="56"/>
      <c r="CO5" s="56"/>
      <c r="CP5" s="56"/>
    </row>
    <row r="6" spans="2:115" s="1" customFormat="1" x14ac:dyDescent="0.2">
      <c r="G6"/>
      <c r="H6"/>
      <c r="I6"/>
      <c r="J6"/>
      <c r="K6"/>
      <c r="L6"/>
      <c r="M6"/>
      <c r="N6"/>
      <c r="O6"/>
      <c r="P6"/>
      <c r="Q6"/>
      <c r="R6"/>
      <c r="S6"/>
      <c r="CM6" s="56"/>
      <c r="CN6" s="56"/>
      <c r="CO6" s="56"/>
      <c r="CP6" s="56"/>
    </row>
    <row r="7" spans="2:115" ht="15" x14ac:dyDescent="0.25">
      <c r="B7" s="43" t="s">
        <v>479</v>
      </c>
      <c r="C7" s="313" t="s">
        <v>32</v>
      </c>
      <c r="D7" s="313"/>
      <c r="E7" s="313"/>
      <c r="F7" s="313"/>
      <c r="G7" s="313"/>
      <c r="H7" s="313"/>
      <c r="I7" s="313"/>
      <c r="J7" s="313"/>
      <c r="K7" s="313"/>
      <c r="L7" s="313"/>
      <c r="M7" s="313"/>
      <c r="N7" s="45"/>
      <c r="O7" s="45"/>
      <c r="P7" s="45"/>
      <c r="Q7" s="3"/>
      <c r="R7" s="3"/>
      <c r="S7" s="3"/>
      <c r="T7" s="3"/>
      <c r="U7" s="3"/>
      <c r="BV7" s="1"/>
      <c r="BW7" s="1"/>
      <c r="BX7" s="1"/>
      <c r="BY7" s="1"/>
      <c r="BZ7" s="1"/>
      <c r="CA7" s="1"/>
      <c r="CB7" s="1"/>
      <c r="CC7" s="1"/>
      <c r="CD7" s="1"/>
      <c r="CE7" s="1"/>
      <c r="CF7" s="1"/>
      <c r="CG7" s="1"/>
      <c r="CH7" s="1"/>
      <c r="CM7" s="56"/>
      <c r="CN7" s="56"/>
      <c r="CO7" s="56"/>
      <c r="CP7" s="56"/>
      <c r="DK7" s="1"/>
    </row>
    <row r="8" spans="2:115" x14ac:dyDescent="0.2">
      <c r="B8" s="28"/>
      <c r="DK8" s="1"/>
    </row>
    <row r="9" spans="2:115" ht="15" x14ac:dyDescent="0.25">
      <c r="B9" s="43" t="s">
        <v>480</v>
      </c>
      <c r="C9" s="315" t="s">
        <v>52</v>
      </c>
      <c r="D9" s="315"/>
      <c r="DK9" s="1"/>
    </row>
    <row r="10" spans="2:115" x14ac:dyDescent="0.2">
      <c r="B10" s="28"/>
      <c r="DK10" s="1"/>
    </row>
    <row r="11" spans="2:115" ht="15" x14ac:dyDescent="0.25">
      <c r="B11" s="43" t="s">
        <v>456</v>
      </c>
      <c r="C11" s="314">
        <v>44349</v>
      </c>
      <c r="D11" s="314"/>
      <c r="DK11" s="1"/>
    </row>
    <row r="12" spans="2:115" ht="15" x14ac:dyDescent="0.25">
      <c r="B12" s="43"/>
      <c r="C12" s="46"/>
      <c r="DK12" s="1"/>
    </row>
    <row r="13" spans="2:115" s="235" customFormat="1" x14ac:dyDescent="0.2">
      <c r="D13" s="236">
        <v>3</v>
      </c>
      <c r="E13" s="236">
        <v>4</v>
      </c>
      <c r="F13" s="236">
        <v>5</v>
      </c>
      <c r="G13" s="236">
        <v>6</v>
      </c>
      <c r="H13" s="236">
        <v>7</v>
      </c>
      <c r="I13" s="236">
        <v>8</v>
      </c>
      <c r="J13" s="236">
        <v>9</v>
      </c>
      <c r="K13" s="236">
        <v>10</v>
      </c>
      <c r="L13" s="236">
        <v>11</v>
      </c>
      <c r="M13" s="236">
        <v>12</v>
      </c>
      <c r="N13" s="236">
        <v>13</v>
      </c>
      <c r="O13" s="236">
        <v>14</v>
      </c>
      <c r="P13" s="236">
        <v>15</v>
      </c>
      <c r="Q13" s="236">
        <v>16</v>
      </c>
      <c r="R13" s="236">
        <v>17</v>
      </c>
      <c r="S13" s="236">
        <v>18</v>
      </c>
      <c r="T13" s="236">
        <v>19</v>
      </c>
      <c r="U13" s="236">
        <v>20</v>
      </c>
      <c r="V13" s="236">
        <v>21</v>
      </c>
      <c r="W13" s="236">
        <v>22</v>
      </c>
      <c r="X13" s="236">
        <v>23</v>
      </c>
      <c r="Y13" s="236">
        <v>24</v>
      </c>
      <c r="Z13" s="236">
        <v>25</v>
      </c>
      <c r="AA13" s="236">
        <v>26</v>
      </c>
      <c r="AB13" s="236">
        <v>27</v>
      </c>
      <c r="AC13" s="236">
        <v>28</v>
      </c>
      <c r="AD13" s="236">
        <v>29</v>
      </c>
      <c r="AE13" s="236">
        <v>30</v>
      </c>
      <c r="AF13" s="236">
        <v>31</v>
      </c>
      <c r="AG13" s="236">
        <v>32</v>
      </c>
      <c r="AH13" s="236">
        <v>33</v>
      </c>
      <c r="AI13" s="236">
        <v>34</v>
      </c>
      <c r="AJ13" s="236">
        <v>35</v>
      </c>
      <c r="AK13" s="236">
        <v>36</v>
      </c>
      <c r="AL13" s="236">
        <v>37</v>
      </c>
      <c r="AM13" s="236">
        <v>38</v>
      </c>
      <c r="AN13" s="236">
        <v>39</v>
      </c>
      <c r="AO13" s="236">
        <v>40</v>
      </c>
      <c r="AP13" s="236">
        <v>41</v>
      </c>
      <c r="AQ13" s="236">
        <v>42</v>
      </c>
      <c r="AR13" s="236">
        <v>43</v>
      </c>
      <c r="AS13" s="236">
        <v>44</v>
      </c>
      <c r="AT13" s="236">
        <v>45</v>
      </c>
      <c r="AU13" s="236">
        <v>46</v>
      </c>
      <c r="AV13" s="236">
        <v>47</v>
      </c>
      <c r="AW13" s="236">
        <v>48</v>
      </c>
      <c r="AX13" s="236">
        <v>49</v>
      </c>
      <c r="AY13" s="236">
        <v>50</v>
      </c>
      <c r="AZ13" s="236">
        <v>51</v>
      </c>
      <c r="BA13" s="236">
        <v>52</v>
      </c>
      <c r="BB13" s="236">
        <v>53</v>
      </c>
      <c r="BC13" s="236">
        <v>54</v>
      </c>
      <c r="BD13" s="236">
        <v>55</v>
      </c>
      <c r="BE13" s="236">
        <v>56</v>
      </c>
      <c r="BF13" s="236">
        <v>57</v>
      </c>
      <c r="BG13" s="236">
        <v>58</v>
      </c>
      <c r="BH13" s="236">
        <v>59</v>
      </c>
      <c r="BI13" s="236">
        <v>60</v>
      </c>
      <c r="BJ13" s="236">
        <v>61</v>
      </c>
      <c r="BK13" s="236">
        <v>62</v>
      </c>
      <c r="BL13" s="236">
        <v>63</v>
      </c>
      <c r="BM13" s="236">
        <v>64</v>
      </c>
      <c r="BN13" s="236">
        <v>65</v>
      </c>
      <c r="BO13" s="236">
        <v>66</v>
      </c>
      <c r="BP13" s="236">
        <v>67</v>
      </c>
      <c r="BQ13" s="236">
        <v>68</v>
      </c>
      <c r="BR13" s="236">
        <v>69</v>
      </c>
      <c r="BS13" s="236">
        <v>70</v>
      </c>
      <c r="BT13" s="236">
        <v>71</v>
      </c>
      <c r="BU13" s="236">
        <v>72</v>
      </c>
      <c r="BV13" s="236">
        <v>73</v>
      </c>
      <c r="BW13" s="236">
        <v>74</v>
      </c>
      <c r="BX13" s="236">
        <v>75</v>
      </c>
      <c r="BY13" s="236">
        <v>76</v>
      </c>
      <c r="BZ13" s="236">
        <v>77</v>
      </c>
      <c r="CA13" s="236">
        <v>78</v>
      </c>
      <c r="CB13" s="236">
        <v>79</v>
      </c>
      <c r="CC13" s="236">
        <v>80</v>
      </c>
      <c r="CD13" s="236">
        <v>81</v>
      </c>
      <c r="CE13" s="236">
        <v>82</v>
      </c>
      <c r="CF13" s="236">
        <v>83</v>
      </c>
      <c r="CG13" s="236">
        <v>84</v>
      </c>
      <c r="CH13" s="236">
        <v>85</v>
      </c>
      <c r="CI13" s="236">
        <v>86</v>
      </c>
      <c r="CJ13" s="236">
        <v>87</v>
      </c>
      <c r="CK13" s="236">
        <v>88</v>
      </c>
      <c r="CL13" s="236">
        <v>89</v>
      </c>
      <c r="CM13" s="236">
        <v>90</v>
      </c>
      <c r="CN13" s="236">
        <v>91</v>
      </c>
      <c r="CO13" s="236">
        <v>92</v>
      </c>
      <c r="CP13" s="236">
        <v>93</v>
      </c>
      <c r="CQ13" s="236">
        <v>94</v>
      </c>
      <c r="CR13" s="236">
        <v>95</v>
      </c>
      <c r="CS13" s="236">
        <v>96</v>
      </c>
      <c r="CT13" s="236">
        <v>97</v>
      </c>
      <c r="CU13" s="236">
        <v>98</v>
      </c>
      <c r="CV13" s="236">
        <v>99</v>
      </c>
      <c r="CW13" s="236">
        <v>100</v>
      </c>
      <c r="CX13" s="236">
        <v>101</v>
      </c>
      <c r="CY13" s="236">
        <v>102</v>
      </c>
      <c r="CZ13" s="236">
        <v>103</v>
      </c>
      <c r="DA13" s="236">
        <v>104</v>
      </c>
      <c r="DB13" s="236">
        <v>105</v>
      </c>
      <c r="DC13" s="236">
        <v>106</v>
      </c>
      <c r="DD13" s="236">
        <v>107</v>
      </c>
      <c r="DE13" s="236">
        <v>108</v>
      </c>
      <c r="DF13" s="236">
        <v>109</v>
      </c>
      <c r="DG13" s="236">
        <v>110</v>
      </c>
      <c r="DH13" s="236">
        <v>111</v>
      </c>
      <c r="DI13" s="236">
        <v>112</v>
      </c>
      <c r="DJ13" s="236">
        <v>113</v>
      </c>
      <c r="DK13" s="158"/>
    </row>
    <row r="14" spans="2:115" ht="15" x14ac:dyDescent="0.2">
      <c r="D14" s="306" t="s">
        <v>49</v>
      </c>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8"/>
      <c r="AR14" s="306" t="s">
        <v>50</v>
      </c>
      <c r="AS14" s="307"/>
      <c r="AT14" s="307"/>
      <c r="AU14" s="307"/>
      <c r="AV14" s="307"/>
      <c r="AW14" s="307"/>
      <c r="AX14" s="307"/>
      <c r="AY14" s="307"/>
      <c r="AZ14" s="307"/>
      <c r="BA14" s="307"/>
      <c r="BB14" s="307"/>
      <c r="BC14" s="307"/>
      <c r="BD14" s="308"/>
      <c r="BE14" s="306" t="s">
        <v>46</v>
      </c>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7"/>
      <c r="CT14" s="307"/>
      <c r="CU14" s="307"/>
      <c r="CV14" s="307"/>
      <c r="CW14" s="307"/>
      <c r="CX14" s="307"/>
      <c r="CY14" s="307"/>
      <c r="CZ14" s="307"/>
      <c r="DA14" s="307"/>
      <c r="DB14" s="307"/>
      <c r="DC14" s="307"/>
      <c r="DD14" s="307"/>
      <c r="DE14" s="307"/>
      <c r="DF14" s="307"/>
      <c r="DG14" s="307"/>
      <c r="DH14" s="307"/>
      <c r="DI14" s="307"/>
      <c r="DJ14" s="307"/>
      <c r="DK14" s="1"/>
    </row>
    <row r="15" spans="2:115" s="1" customFormat="1" ht="15" x14ac:dyDescent="0.25">
      <c r="D15" s="16" t="s">
        <v>7</v>
      </c>
      <c r="E15" s="16" t="s">
        <v>8</v>
      </c>
      <c r="F15" s="16" t="s">
        <v>9</v>
      </c>
      <c r="G15" s="16" t="s">
        <v>10</v>
      </c>
      <c r="H15" s="16" t="s">
        <v>649</v>
      </c>
      <c r="I15" s="16" t="s">
        <v>617</v>
      </c>
      <c r="J15" s="16" t="s">
        <v>618</v>
      </c>
      <c r="K15" s="16" t="s">
        <v>619</v>
      </c>
      <c r="L15" s="16" t="s">
        <v>8</v>
      </c>
      <c r="M15" s="16" t="s">
        <v>9</v>
      </c>
      <c r="N15" s="16" t="s">
        <v>592</v>
      </c>
      <c r="O15" s="16" t="s">
        <v>580</v>
      </c>
      <c r="P15" s="16" t="s">
        <v>590</v>
      </c>
      <c r="Q15" s="16" t="s">
        <v>472</v>
      </c>
      <c r="R15" s="16" t="s">
        <v>476</v>
      </c>
      <c r="S15" s="16" t="s">
        <v>474</v>
      </c>
      <c r="T15" s="16" t="s">
        <v>11</v>
      </c>
      <c r="U15" s="16" t="s">
        <v>477</v>
      </c>
      <c r="V15" s="16" t="s">
        <v>12</v>
      </c>
      <c r="W15" s="16" t="s">
        <v>13</v>
      </c>
      <c r="X15" s="16" t="s">
        <v>14</v>
      </c>
      <c r="Y15" s="16" t="s">
        <v>454</v>
      </c>
      <c r="Z15" s="16" t="s">
        <v>471</v>
      </c>
      <c r="AA15" s="16" t="s">
        <v>481</v>
      </c>
      <c r="AB15" s="16" t="s">
        <v>475</v>
      </c>
      <c r="AC15" s="16" t="s">
        <v>19</v>
      </c>
      <c r="AD15" s="16" t="s">
        <v>20</v>
      </c>
      <c r="AE15" s="16" t="s">
        <v>21</v>
      </c>
      <c r="AF15" s="16" t="s">
        <v>22</v>
      </c>
      <c r="AG15" s="16" t="s">
        <v>18</v>
      </c>
      <c r="AH15" s="16" t="s">
        <v>537</v>
      </c>
      <c r="AI15" s="16" t="s">
        <v>528</v>
      </c>
      <c r="AJ15" s="16" t="s">
        <v>529</v>
      </c>
      <c r="AK15" s="16" t="s">
        <v>534</v>
      </c>
      <c r="AL15" s="16" t="s">
        <v>530</v>
      </c>
      <c r="AM15" s="16" t="s">
        <v>531</v>
      </c>
      <c r="AN15" s="16" t="s">
        <v>533</v>
      </c>
      <c r="AO15" s="16" t="s">
        <v>532</v>
      </c>
      <c r="AP15" s="16" t="s">
        <v>514</v>
      </c>
      <c r="AQ15" s="16" t="s">
        <v>513</v>
      </c>
      <c r="AR15" s="16" t="s">
        <v>15</v>
      </c>
      <c r="AS15" s="16" t="s">
        <v>620</v>
      </c>
      <c r="AT15" s="16" t="s">
        <v>621</v>
      </c>
      <c r="AU15" s="16" t="s">
        <v>622</v>
      </c>
      <c r="AV15" s="16" t="s">
        <v>623</v>
      </c>
      <c r="AW15" s="16" t="s">
        <v>624</v>
      </c>
      <c r="AX15" s="16" t="s">
        <v>625</v>
      </c>
      <c r="AY15" s="16" t="s">
        <v>626</v>
      </c>
      <c r="AZ15" s="16" t="s">
        <v>627</v>
      </c>
      <c r="BA15" s="16" t="s">
        <v>630</v>
      </c>
      <c r="BB15" s="16" t="s">
        <v>631</v>
      </c>
      <c r="BC15" s="16" t="s">
        <v>632</v>
      </c>
      <c r="BD15" s="16" t="s">
        <v>633</v>
      </c>
      <c r="BE15" s="16" t="s">
        <v>16</v>
      </c>
      <c r="BF15" s="16" t="s">
        <v>17</v>
      </c>
      <c r="BG15" s="16" t="s">
        <v>18</v>
      </c>
      <c r="BH15" s="16" t="s">
        <v>471</v>
      </c>
      <c r="BI15" s="16" t="s">
        <v>481</v>
      </c>
      <c r="BJ15" s="16" t="s">
        <v>475</v>
      </c>
      <c r="BK15" s="16" t="s">
        <v>472</v>
      </c>
      <c r="BL15" s="16" t="s">
        <v>473</v>
      </c>
      <c r="BM15" s="16" t="s">
        <v>474</v>
      </c>
      <c r="BN15" s="16" t="s">
        <v>19</v>
      </c>
      <c r="BO15" s="16" t="s">
        <v>20</v>
      </c>
      <c r="BP15" s="16" t="s">
        <v>21</v>
      </c>
      <c r="BQ15" s="16" t="s">
        <v>22</v>
      </c>
      <c r="BR15" s="16" t="s">
        <v>538</v>
      </c>
      <c r="BS15" s="16" t="s">
        <v>500</v>
      </c>
      <c r="BT15" s="29" t="s">
        <v>29</v>
      </c>
      <c r="BU15" s="29" t="s">
        <v>31</v>
      </c>
      <c r="BV15" s="29" t="s">
        <v>635</v>
      </c>
      <c r="BW15" s="29" t="s">
        <v>637</v>
      </c>
      <c r="BX15" s="29" t="s">
        <v>673</v>
      </c>
      <c r="BY15" s="29" t="s">
        <v>674</v>
      </c>
      <c r="BZ15" s="29" t="s">
        <v>675</v>
      </c>
      <c r="CA15" s="29" t="s">
        <v>676</v>
      </c>
      <c r="CB15" s="29" t="s">
        <v>677</v>
      </c>
      <c r="CC15" s="29" t="s">
        <v>678</v>
      </c>
      <c r="CD15" s="29" t="s">
        <v>679</v>
      </c>
      <c r="CE15" s="29" t="s">
        <v>680</v>
      </c>
      <c r="CF15" s="29" t="s">
        <v>681</v>
      </c>
      <c r="CG15" s="29" t="s">
        <v>682</v>
      </c>
      <c r="CH15" s="29" t="s">
        <v>683</v>
      </c>
      <c r="CI15" s="29" t="s">
        <v>684</v>
      </c>
      <c r="CJ15" s="29" t="s">
        <v>685</v>
      </c>
      <c r="CK15" s="29" t="s">
        <v>686</v>
      </c>
      <c r="CL15" s="29" t="s">
        <v>687</v>
      </c>
      <c r="CM15" s="29" t="s">
        <v>688</v>
      </c>
      <c r="CN15" s="29" t="s">
        <v>689</v>
      </c>
      <c r="CO15" s="29" t="s">
        <v>690</v>
      </c>
      <c r="CP15" s="29" t="s">
        <v>691</v>
      </c>
      <c r="CQ15" s="29" t="s">
        <v>692</v>
      </c>
      <c r="CR15" s="29" t="s">
        <v>693</v>
      </c>
      <c r="CS15" s="29" t="s">
        <v>695</v>
      </c>
      <c r="CT15" s="29" t="s">
        <v>694</v>
      </c>
      <c r="CU15" s="29" t="s">
        <v>696</v>
      </c>
      <c r="CV15" s="29" t="s">
        <v>697</v>
      </c>
      <c r="CW15" s="29" t="s">
        <v>698</v>
      </c>
      <c r="CX15" s="29" t="s">
        <v>699</v>
      </c>
      <c r="CY15" s="29" t="s">
        <v>700</v>
      </c>
      <c r="CZ15" s="29" t="s">
        <v>701</v>
      </c>
      <c r="DA15" s="29" t="s">
        <v>702</v>
      </c>
      <c r="DB15" s="29" t="s">
        <v>703</v>
      </c>
      <c r="DC15" s="29" t="s">
        <v>704</v>
      </c>
      <c r="DD15" s="29" t="s">
        <v>705</v>
      </c>
      <c r="DE15" s="29" t="s">
        <v>706</v>
      </c>
      <c r="DF15" s="29" t="s">
        <v>707</v>
      </c>
      <c r="DG15" s="29" t="s">
        <v>708</v>
      </c>
      <c r="DH15" s="29" t="s">
        <v>709</v>
      </c>
      <c r="DI15" s="29" t="s">
        <v>710</v>
      </c>
      <c r="DJ15" s="29" t="s">
        <v>711</v>
      </c>
    </row>
    <row r="16" spans="2:115" ht="18" x14ac:dyDescent="0.3">
      <c r="B16" s="312" t="s">
        <v>48</v>
      </c>
      <c r="C16" s="312"/>
      <c r="D16" s="309" t="s">
        <v>591</v>
      </c>
      <c r="E16" s="310"/>
      <c r="F16" s="310"/>
      <c r="G16" s="310"/>
      <c r="H16" s="310"/>
      <c r="I16" s="310"/>
      <c r="J16" s="310"/>
      <c r="K16" s="311"/>
      <c r="L16" s="309" t="s">
        <v>584</v>
      </c>
      <c r="M16" s="311"/>
      <c r="N16" s="309" t="s">
        <v>585</v>
      </c>
      <c r="O16" s="310"/>
      <c r="P16" s="311"/>
      <c r="Q16" s="309" t="s">
        <v>586</v>
      </c>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1"/>
      <c r="AP16" s="309" t="s">
        <v>584</v>
      </c>
      <c r="AQ16" s="311"/>
      <c r="AR16" s="44" t="s">
        <v>587</v>
      </c>
      <c r="AS16" s="309" t="s">
        <v>587</v>
      </c>
      <c r="AT16" s="310"/>
      <c r="AU16" s="310"/>
      <c r="AV16" s="310"/>
      <c r="AW16" s="310"/>
      <c r="AX16" s="310"/>
      <c r="AY16" s="310"/>
      <c r="AZ16" s="310"/>
      <c r="BA16" s="310"/>
      <c r="BB16" s="310"/>
      <c r="BC16" s="310"/>
      <c r="BD16" s="311"/>
      <c r="BE16" s="312" t="s">
        <v>586</v>
      </c>
      <c r="BF16" s="312"/>
      <c r="BG16" s="312"/>
      <c r="BH16" s="312"/>
      <c r="BI16" s="312"/>
      <c r="BJ16" s="312"/>
      <c r="BK16" s="312"/>
      <c r="BL16" s="312"/>
      <c r="BM16" s="312"/>
      <c r="BN16" s="312"/>
      <c r="BO16" s="312"/>
      <c r="BP16" s="312"/>
      <c r="BQ16" s="312"/>
      <c r="BR16" s="44" t="s">
        <v>587</v>
      </c>
      <c r="BS16" s="44" t="s">
        <v>586</v>
      </c>
      <c r="BT16" s="312" t="s">
        <v>588</v>
      </c>
      <c r="BU16" s="312"/>
      <c r="BV16" s="316" t="s">
        <v>650</v>
      </c>
      <c r="BW16" s="317"/>
      <c r="BX16" s="317"/>
      <c r="BY16" s="317"/>
      <c r="BZ16" s="317"/>
      <c r="CA16" s="317"/>
      <c r="CB16" s="317"/>
      <c r="CC16" s="317"/>
      <c r="CD16" s="317"/>
      <c r="CE16" s="317"/>
      <c r="CF16" s="317"/>
      <c r="CG16" s="317"/>
      <c r="CH16" s="184"/>
      <c r="CI16" s="316" t="s">
        <v>650</v>
      </c>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1"/>
    </row>
    <row r="17" spans="2:115" x14ac:dyDescent="0.2">
      <c r="B17" s="305" t="s">
        <v>1</v>
      </c>
      <c r="C17" s="305"/>
      <c r="D17" s="2">
        <v>0.184973</v>
      </c>
      <c r="E17" s="2">
        <v>0.24667500000000001</v>
      </c>
      <c r="F17" s="2">
        <v>0.272123</v>
      </c>
      <c r="G17" s="7">
        <v>1.18E-2</v>
      </c>
      <c r="H17" s="4"/>
      <c r="I17" s="4"/>
      <c r="J17" s="4"/>
      <c r="K17" s="4"/>
      <c r="L17" s="7">
        <v>2.5379710000000002</v>
      </c>
      <c r="M17" s="7">
        <v>2.92577</v>
      </c>
      <c r="N17" s="52">
        <v>650</v>
      </c>
      <c r="O17" s="52">
        <v>1725</v>
      </c>
      <c r="P17" s="144">
        <v>0</v>
      </c>
      <c r="Q17" s="2">
        <v>0.23658999999999999</v>
      </c>
      <c r="R17" s="2">
        <v>0.28517599999999999</v>
      </c>
      <c r="S17" s="2">
        <v>0.37090000000000001</v>
      </c>
      <c r="T17" s="2">
        <v>0.31301699999999999</v>
      </c>
      <c r="U17" s="2">
        <v>0.246977</v>
      </c>
      <c r="V17" s="2">
        <v>0.36528500000000003</v>
      </c>
      <c r="W17" s="2">
        <v>0.43261899999999998</v>
      </c>
      <c r="X17" s="2">
        <v>0.38800000000000001</v>
      </c>
      <c r="Y17" s="2">
        <v>0.313</v>
      </c>
      <c r="Z17" s="2">
        <v>0.25850000000000001</v>
      </c>
      <c r="AA17" s="2">
        <v>0.32329999999999998</v>
      </c>
      <c r="AB17" s="2">
        <v>0.46689999999999998</v>
      </c>
      <c r="AC17" s="2">
        <v>0.18060000000000001</v>
      </c>
      <c r="AD17" s="2">
        <v>0.19259999999999999</v>
      </c>
      <c r="AE17" s="2">
        <v>0.31929999999999997</v>
      </c>
      <c r="AF17" s="4">
        <v>0</v>
      </c>
      <c r="AG17" s="2">
        <v>0.3049</v>
      </c>
      <c r="AH17" s="2">
        <v>0.95033548600000006</v>
      </c>
      <c r="AI17" s="2">
        <v>1.169635008</v>
      </c>
      <c r="AJ17" s="2">
        <v>1.5661607370000001</v>
      </c>
      <c r="AK17" s="2">
        <v>1.336721126</v>
      </c>
      <c r="AL17" s="2">
        <v>1.431177237</v>
      </c>
      <c r="AM17" s="2">
        <v>1.6006578959999997</v>
      </c>
      <c r="AN17" s="2">
        <v>1.6006535420000001</v>
      </c>
      <c r="AO17" s="2">
        <v>1.45898299</v>
      </c>
      <c r="AP17" s="2">
        <v>2.6023999999999998</v>
      </c>
      <c r="AQ17" s="2">
        <v>2.1913999999999998</v>
      </c>
      <c r="AR17" s="2">
        <v>0.49430000000000002</v>
      </c>
      <c r="AS17" s="181"/>
      <c r="AT17" s="181"/>
      <c r="AU17" s="181"/>
      <c r="AV17" s="181"/>
      <c r="AW17" s="181"/>
      <c r="AX17" s="181"/>
      <c r="AY17" s="181"/>
      <c r="AZ17" s="181"/>
      <c r="BA17" s="181"/>
      <c r="BB17" s="181"/>
      <c r="BC17" s="181"/>
      <c r="BD17" s="181"/>
      <c r="BE17" s="2">
        <v>0.14119999999999999</v>
      </c>
      <c r="BF17" s="2">
        <v>0.17100000000000001</v>
      </c>
      <c r="BG17" s="2">
        <v>0.3049</v>
      </c>
      <c r="BH17" s="2">
        <v>0.25850000000000001</v>
      </c>
      <c r="BI17" s="2">
        <v>0.32329999999999998</v>
      </c>
      <c r="BJ17" s="2">
        <v>0.46689999999999998</v>
      </c>
      <c r="BK17" s="2">
        <v>0.2366</v>
      </c>
      <c r="BL17" s="2">
        <v>0.28520000000000001</v>
      </c>
      <c r="BM17" s="2">
        <v>0.37090000000000001</v>
      </c>
      <c r="BN17" s="2">
        <v>0.18060000000000001</v>
      </c>
      <c r="BO17" s="2">
        <v>0.19259999999999999</v>
      </c>
      <c r="BP17" s="2">
        <v>0.31929999999999997</v>
      </c>
      <c r="BQ17" s="4">
        <v>0</v>
      </c>
      <c r="BR17" s="2">
        <v>4.3220000000000001E-2</v>
      </c>
      <c r="BS17" s="4">
        <v>0</v>
      </c>
      <c r="BT17" s="2">
        <v>0.34399999999999997</v>
      </c>
      <c r="BU17" s="2">
        <v>0.70799999999999996</v>
      </c>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
    </row>
    <row r="18" spans="2:115" x14ac:dyDescent="0.2">
      <c r="B18" s="305" t="s">
        <v>2</v>
      </c>
      <c r="C18" s="305"/>
      <c r="D18" s="2">
        <v>0.1845</v>
      </c>
      <c r="E18" s="2">
        <v>0.24660000000000001</v>
      </c>
      <c r="F18" s="2">
        <v>0.27100000000000002</v>
      </c>
      <c r="G18" s="2">
        <v>1.32E-2</v>
      </c>
      <c r="H18" s="4"/>
      <c r="I18" s="4"/>
      <c r="J18" s="4"/>
      <c r="K18" s="4"/>
      <c r="L18" s="2">
        <v>2.5321500000000001</v>
      </c>
      <c r="M18" s="2">
        <v>2.9088400000000001</v>
      </c>
      <c r="N18" s="52">
        <v>675</v>
      </c>
      <c r="O18" s="53">
        <v>2087.5</v>
      </c>
      <c r="P18" s="144">
        <v>0</v>
      </c>
      <c r="Q18" s="2">
        <v>0.23119999999999999</v>
      </c>
      <c r="R18" s="2">
        <v>0.28260000000000002</v>
      </c>
      <c r="S18" s="2">
        <v>0.3624</v>
      </c>
      <c r="T18" s="2">
        <v>0.3135</v>
      </c>
      <c r="U18" s="2">
        <v>0.23250000000000001</v>
      </c>
      <c r="V18" s="2">
        <v>0.36749999999999999</v>
      </c>
      <c r="W18" s="2">
        <v>0.43090000000000001</v>
      </c>
      <c r="X18" s="2">
        <v>0.38969999999999999</v>
      </c>
      <c r="Y18" s="2">
        <v>0.3135</v>
      </c>
      <c r="Z18" s="2">
        <v>0.25519999999999998</v>
      </c>
      <c r="AA18" s="2">
        <v>0.32079999999999997</v>
      </c>
      <c r="AB18" s="2">
        <v>0.46789999999999998</v>
      </c>
      <c r="AC18" s="2">
        <v>0.17380000000000001</v>
      </c>
      <c r="AD18" s="2">
        <v>0.18940000000000001</v>
      </c>
      <c r="AE18" s="2">
        <v>0.2802</v>
      </c>
      <c r="AF18" s="4">
        <v>0</v>
      </c>
      <c r="AG18" s="2">
        <v>0.2999</v>
      </c>
      <c r="AH18" s="2">
        <v>0.90976120399999993</v>
      </c>
      <c r="AI18" s="2">
        <v>1.11331655</v>
      </c>
      <c r="AJ18" s="2">
        <v>1.6073225990000002</v>
      </c>
      <c r="AK18" s="2">
        <v>1.3396501319999998</v>
      </c>
      <c r="AL18" s="2">
        <v>1.3545301679999999</v>
      </c>
      <c r="AM18" s="2">
        <v>1.5832141240000002</v>
      </c>
      <c r="AN18" s="2">
        <v>1.6040331650000001</v>
      </c>
      <c r="AO18" s="2">
        <v>1.4702323050000001</v>
      </c>
      <c r="AP18" s="2">
        <v>2.5838999999999999</v>
      </c>
      <c r="AQ18" s="2">
        <v>2.1943999999999999</v>
      </c>
      <c r="AR18" s="2">
        <v>0.4622</v>
      </c>
      <c r="AS18" s="181"/>
      <c r="AT18" s="181"/>
      <c r="AU18" s="181"/>
      <c r="AV18" s="181"/>
      <c r="AW18" s="181"/>
      <c r="AX18" s="181"/>
      <c r="AY18" s="181"/>
      <c r="AZ18" s="181"/>
      <c r="BA18" s="181"/>
      <c r="BB18" s="181"/>
      <c r="BC18" s="181"/>
      <c r="BD18" s="181"/>
      <c r="BE18" s="2">
        <v>0.14180000000000001</v>
      </c>
      <c r="BF18" s="2">
        <v>0.17130000000000001</v>
      </c>
      <c r="BG18" s="2">
        <v>0.2999</v>
      </c>
      <c r="BH18" s="2">
        <v>0.25519999999999998</v>
      </c>
      <c r="BI18" s="2">
        <v>0.32079999999999997</v>
      </c>
      <c r="BJ18" s="2">
        <v>0.46789999999999998</v>
      </c>
      <c r="BK18" s="2">
        <v>0.23119999999999999</v>
      </c>
      <c r="BL18" s="2">
        <v>0.28260000000000002</v>
      </c>
      <c r="BM18" s="2">
        <v>0.3624</v>
      </c>
      <c r="BN18" s="2">
        <v>0.17380000000000001</v>
      </c>
      <c r="BO18" s="2">
        <v>0.18940000000000001</v>
      </c>
      <c r="BP18" s="2">
        <v>0.2802</v>
      </c>
      <c r="BQ18" s="4">
        <v>0</v>
      </c>
      <c r="BR18" s="2">
        <v>3.8159999999999999E-2</v>
      </c>
      <c r="BS18" s="4">
        <v>0</v>
      </c>
      <c r="BT18" s="2">
        <v>0.34399999999999997</v>
      </c>
      <c r="BU18" s="2">
        <v>0.70799999999999996</v>
      </c>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
    </row>
    <row r="19" spans="2:115" x14ac:dyDescent="0.2">
      <c r="B19" s="305" t="s">
        <v>3</v>
      </c>
      <c r="C19" s="305"/>
      <c r="D19" s="2">
        <v>0.184</v>
      </c>
      <c r="E19" s="2">
        <v>0.2467</v>
      </c>
      <c r="F19" s="2">
        <v>0.27629999999999999</v>
      </c>
      <c r="G19" s="2">
        <v>1.3100000000000001E-2</v>
      </c>
      <c r="H19" s="4"/>
      <c r="I19" s="4"/>
      <c r="J19" s="4"/>
      <c r="K19" s="4"/>
      <c r="L19" s="2">
        <v>2.5323199999999999</v>
      </c>
      <c r="M19" s="2">
        <v>2.9657200000000001</v>
      </c>
      <c r="N19" s="52">
        <v>675</v>
      </c>
      <c r="O19" s="53">
        <v>2088</v>
      </c>
      <c r="P19" s="52">
        <v>1810</v>
      </c>
      <c r="Q19" s="2">
        <v>0.23619999999999999</v>
      </c>
      <c r="R19" s="2">
        <v>0.28549999999999998</v>
      </c>
      <c r="S19" s="2">
        <v>0.36170000000000002</v>
      </c>
      <c r="T19" s="2">
        <v>0.36170000000000002</v>
      </c>
      <c r="U19" s="2">
        <v>0.24840000000000001</v>
      </c>
      <c r="V19" s="2">
        <v>0.39090000000000003</v>
      </c>
      <c r="W19" s="2">
        <v>0.45789999999999997</v>
      </c>
      <c r="X19" s="2">
        <v>0.36980000000000002</v>
      </c>
      <c r="Y19" s="2">
        <v>0.36170000000000002</v>
      </c>
      <c r="Z19" s="2">
        <v>0.25790000000000002</v>
      </c>
      <c r="AA19" s="2">
        <v>0.32240000000000002</v>
      </c>
      <c r="AB19" s="2">
        <v>0.47410000000000002</v>
      </c>
      <c r="AC19" s="2">
        <v>0.1777</v>
      </c>
      <c r="AD19" s="2">
        <v>0.19389999999999999</v>
      </c>
      <c r="AE19" s="2">
        <v>0.28749999999999998</v>
      </c>
      <c r="AF19" s="4">
        <v>0</v>
      </c>
      <c r="AG19" s="2">
        <v>0.3009</v>
      </c>
      <c r="AH19" s="2">
        <v>0.89794035085266777</v>
      </c>
      <c r="AI19" s="2">
        <v>1.1575331792032582</v>
      </c>
      <c r="AJ19" s="2">
        <v>1.5729976367024565</v>
      </c>
      <c r="AK19" s="2">
        <v>1.3377511065600001</v>
      </c>
      <c r="AL19" s="2">
        <v>1.3565694653182918</v>
      </c>
      <c r="AM19" s="2">
        <v>1.5652624407560547</v>
      </c>
      <c r="AN19" s="2">
        <v>1.60984289664</v>
      </c>
      <c r="AO19" s="2">
        <v>1.4722922649600001</v>
      </c>
      <c r="AP19" s="2">
        <v>2.6116299999999999</v>
      </c>
      <c r="AQ19" s="2">
        <v>2.1969699999999999</v>
      </c>
      <c r="AR19" s="2">
        <v>0.41210000000000002</v>
      </c>
      <c r="AS19" s="181"/>
      <c r="AT19" s="181"/>
      <c r="AU19" s="181"/>
      <c r="AV19" s="181"/>
      <c r="AW19" s="181"/>
      <c r="AX19" s="181"/>
      <c r="AY19" s="181"/>
      <c r="AZ19" s="181"/>
      <c r="BA19" s="181"/>
      <c r="BB19" s="181"/>
      <c r="BC19" s="181"/>
      <c r="BD19" s="181"/>
      <c r="BE19" s="2">
        <v>0.1406</v>
      </c>
      <c r="BF19" s="2">
        <v>0.17130000000000001</v>
      </c>
      <c r="BG19" s="2">
        <v>0.3009</v>
      </c>
      <c r="BH19" s="2">
        <v>0.25790000000000002</v>
      </c>
      <c r="BI19" s="2">
        <v>0.32240000000000002</v>
      </c>
      <c r="BJ19" s="2">
        <v>0.47410000000000002</v>
      </c>
      <c r="BK19" s="2">
        <v>0.23619999999999999</v>
      </c>
      <c r="BL19" s="2">
        <v>0.28549999999999998</v>
      </c>
      <c r="BM19" s="2">
        <v>0.36170000000000002</v>
      </c>
      <c r="BN19" s="2">
        <v>0.1777</v>
      </c>
      <c r="BO19" s="2">
        <v>0.19389999999999999</v>
      </c>
      <c r="BP19" s="2">
        <v>0.28749999999999998</v>
      </c>
      <c r="BQ19" s="4">
        <v>0</v>
      </c>
      <c r="BR19" s="2">
        <v>3.7269999999999998E-2</v>
      </c>
      <c r="BS19" s="4">
        <v>0</v>
      </c>
      <c r="BT19" s="2">
        <v>0.34399999999999997</v>
      </c>
      <c r="BU19" s="2">
        <v>0.70799999999999996</v>
      </c>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row>
    <row r="20" spans="2:115" x14ac:dyDescent="0.2">
      <c r="B20" s="305" t="s">
        <v>4</v>
      </c>
      <c r="C20" s="305"/>
      <c r="D20" s="2">
        <v>0.1842</v>
      </c>
      <c r="E20" s="2">
        <v>0.24660000000000001</v>
      </c>
      <c r="F20" s="2">
        <v>0.27589999999999998</v>
      </c>
      <c r="G20" s="2">
        <v>1.2699999999999999E-2</v>
      </c>
      <c r="H20" s="4"/>
      <c r="I20" s="4"/>
      <c r="J20" s="4"/>
      <c r="K20" s="4"/>
      <c r="L20" s="2">
        <v>2.53233</v>
      </c>
      <c r="M20" s="2">
        <v>2.9535100000000001</v>
      </c>
      <c r="N20" s="52">
        <v>675</v>
      </c>
      <c r="O20" s="53">
        <v>2088</v>
      </c>
      <c r="P20" s="52">
        <v>1810</v>
      </c>
      <c r="Q20" s="2">
        <v>0.2341</v>
      </c>
      <c r="R20" s="2">
        <v>0.2797</v>
      </c>
      <c r="S20" s="2">
        <v>0.35139999999999999</v>
      </c>
      <c r="T20" s="2">
        <v>0.29849999999999999</v>
      </c>
      <c r="U20" s="2">
        <v>0.2407</v>
      </c>
      <c r="V20" s="2">
        <v>0.37869999999999998</v>
      </c>
      <c r="W20" s="2">
        <v>0.44359999999999999</v>
      </c>
      <c r="X20" s="2">
        <v>0.35349999999999998</v>
      </c>
      <c r="Y20" s="2">
        <v>0.29849999999999999</v>
      </c>
      <c r="Z20" s="2">
        <v>0.25180000000000002</v>
      </c>
      <c r="AA20" s="2">
        <v>0.31369999999999998</v>
      </c>
      <c r="AB20" s="2">
        <v>0.45929999999999999</v>
      </c>
      <c r="AC20" s="2">
        <v>0.17660000000000001</v>
      </c>
      <c r="AD20" s="2">
        <v>0.18099999999999999</v>
      </c>
      <c r="AE20" s="2">
        <v>0.21010000000000001</v>
      </c>
      <c r="AF20" s="4">
        <v>0</v>
      </c>
      <c r="AG20" s="2">
        <v>0.28789999999999999</v>
      </c>
      <c r="AH20" s="2">
        <v>0.8628015052800001</v>
      </c>
      <c r="AI20" s="2">
        <v>1.06310045952</v>
      </c>
      <c r="AJ20" s="2">
        <v>1.5506512243200001</v>
      </c>
      <c r="AK20" s="2">
        <v>1.3037134809599999</v>
      </c>
      <c r="AL20" s="2">
        <v>1.3527340992000001</v>
      </c>
      <c r="AM20" s="2">
        <v>1.5068448806400001</v>
      </c>
      <c r="AN20" s="2">
        <v>1.49179751424</v>
      </c>
      <c r="AO20" s="2">
        <v>1.40059598976</v>
      </c>
      <c r="AP20" s="2">
        <v>2.6719300000000001</v>
      </c>
      <c r="AQ20" s="2">
        <v>2.19835</v>
      </c>
      <c r="AR20" s="2">
        <v>0.35160000000000002</v>
      </c>
      <c r="AS20" s="181"/>
      <c r="AT20" s="181"/>
      <c r="AU20" s="181"/>
      <c r="AV20" s="181"/>
      <c r="AW20" s="181"/>
      <c r="AX20" s="181"/>
      <c r="AY20" s="181"/>
      <c r="AZ20" s="181"/>
      <c r="BA20" s="181"/>
      <c r="BB20" s="181"/>
      <c r="BC20" s="181"/>
      <c r="BD20" s="181"/>
      <c r="BE20" s="2">
        <v>0.13639999999999999</v>
      </c>
      <c r="BF20" s="2">
        <v>0.16619999999999999</v>
      </c>
      <c r="BG20" s="2">
        <v>0.28789999999999999</v>
      </c>
      <c r="BH20" s="2">
        <v>0.25180000000000002</v>
      </c>
      <c r="BI20" s="2">
        <v>0.31369999999999998</v>
      </c>
      <c r="BJ20" s="2">
        <v>0.45929999999999999</v>
      </c>
      <c r="BK20" s="2">
        <v>0.2341</v>
      </c>
      <c r="BL20" s="2">
        <v>0.2797</v>
      </c>
      <c r="BM20" s="2">
        <v>0.35139999999999999</v>
      </c>
      <c r="BN20" s="2">
        <v>0.17660000000000001</v>
      </c>
      <c r="BO20" s="2">
        <v>0.18099999999999999</v>
      </c>
      <c r="BP20" s="2">
        <v>0.21010000000000001</v>
      </c>
      <c r="BQ20" s="4">
        <v>0</v>
      </c>
      <c r="BR20" s="2">
        <v>3.2870000000000003E-2</v>
      </c>
      <c r="BS20" s="4">
        <v>0</v>
      </c>
      <c r="BT20" s="2">
        <v>0.34399999999999997</v>
      </c>
      <c r="BU20" s="2">
        <v>0.70799999999999996</v>
      </c>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row>
    <row r="21" spans="2:115" x14ac:dyDescent="0.2">
      <c r="B21" s="305" t="s">
        <v>5</v>
      </c>
      <c r="C21" s="305"/>
      <c r="D21" s="2">
        <v>0.184</v>
      </c>
      <c r="E21" s="2">
        <v>0.2467</v>
      </c>
      <c r="F21" s="2">
        <v>0.27650000000000002</v>
      </c>
      <c r="G21" s="2">
        <v>1.5100000000000001E-2</v>
      </c>
      <c r="H21" s="4"/>
      <c r="I21" s="4"/>
      <c r="J21" s="4"/>
      <c r="K21" s="4"/>
      <c r="L21" s="2">
        <v>2.53627</v>
      </c>
      <c r="M21" s="2">
        <v>2.9704899999999999</v>
      </c>
      <c r="N21" s="52">
        <v>675</v>
      </c>
      <c r="O21" s="53">
        <v>2088</v>
      </c>
      <c r="P21" s="52">
        <v>1810</v>
      </c>
      <c r="Q21" s="2">
        <v>0.2339</v>
      </c>
      <c r="R21" s="2">
        <v>0.27929999999999999</v>
      </c>
      <c r="S21" s="2">
        <v>0.3463</v>
      </c>
      <c r="T21" s="2">
        <v>0.29699999999999999</v>
      </c>
      <c r="U21" s="2">
        <v>0.24010000000000001</v>
      </c>
      <c r="V21" s="2">
        <v>0.37769999999999998</v>
      </c>
      <c r="W21" s="2">
        <v>0.44240000000000002</v>
      </c>
      <c r="X21" s="2">
        <v>0.34110000000000001</v>
      </c>
      <c r="Y21" s="2">
        <v>0.29699999999999999</v>
      </c>
      <c r="Z21" s="2">
        <v>0.2505</v>
      </c>
      <c r="AA21" s="2">
        <v>0.312</v>
      </c>
      <c r="AB21" s="2">
        <v>0.4572</v>
      </c>
      <c r="AC21" s="2">
        <v>0.1764</v>
      </c>
      <c r="AD21" s="2">
        <v>0.1857</v>
      </c>
      <c r="AE21" s="2">
        <v>0.2596</v>
      </c>
      <c r="AF21" s="2">
        <v>9.6439999999999998E-2</v>
      </c>
      <c r="AG21" s="2">
        <v>0.29070000000000001</v>
      </c>
      <c r="AH21" s="2">
        <v>0.79952209920000006</v>
      </c>
      <c r="AI21" s="2">
        <v>0.97624416384000001</v>
      </c>
      <c r="AJ21" s="2">
        <v>1.5455174169600001</v>
      </c>
      <c r="AK21" s="2">
        <v>1.2994809062399999</v>
      </c>
      <c r="AL21" s="2">
        <v>1.2759201100799999</v>
      </c>
      <c r="AM21" s="2">
        <v>1.5191402688</v>
      </c>
      <c r="AN21" s="2">
        <v>1.5035779123200002</v>
      </c>
      <c r="AO21" s="2">
        <v>1.4047480972800002</v>
      </c>
      <c r="AP21" s="2">
        <v>2.6269399999999998</v>
      </c>
      <c r="AQ21" s="2">
        <v>2.2030699999999999</v>
      </c>
      <c r="AR21" s="2">
        <v>0.28310000000000002</v>
      </c>
      <c r="AS21" s="181"/>
      <c r="AT21" s="181"/>
      <c r="AU21" s="181"/>
      <c r="AV21" s="181"/>
      <c r="AW21" s="181"/>
      <c r="AX21" s="181"/>
      <c r="AY21" s="181"/>
      <c r="AZ21" s="181"/>
      <c r="BA21" s="181"/>
      <c r="BB21" s="181"/>
      <c r="BC21" s="181"/>
      <c r="BD21" s="181"/>
      <c r="BE21" s="2">
        <v>0.13619999999999999</v>
      </c>
      <c r="BF21" s="2">
        <v>0.16589999999999999</v>
      </c>
      <c r="BG21" s="2">
        <v>0.29070000000000001</v>
      </c>
      <c r="BH21" s="2">
        <v>0.2505</v>
      </c>
      <c r="BI21" s="2">
        <v>0.312</v>
      </c>
      <c r="BJ21" s="2">
        <v>0.4572</v>
      </c>
      <c r="BK21" s="2">
        <v>0.2339</v>
      </c>
      <c r="BL21" s="2">
        <v>0.27929999999999999</v>
      </c>
      <c r="BM21" s="2">
        <v>0.3463</v>
      </c>
      <c r="BN21" s="2">
        <v>0.1764</v>
      </c>
      <c r="BO21" s="2">
        <v>0.1857</v>
      </c>
      <c r="BP21" s="2">
        <v>0.2596</v>
      </c>
      <c r="BQ21" s="2">
        <v>9.6439999999999998E-2</v>
      </c>
      <c r="BR21" s="2">
        <v>2.4130000000000002E-2</v>
      </c>
      <c r="BS21" s="2">
        <v>8.2199999999999999E-3</v>
      </c>
      <c r="BT21" s="2">
        <v>0.34399999999999997</v>
      </c>
      <c r="BU21" s="2">
        <v>0.70799999999999996</v>
      </c>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row>
    <row r="22" spans="2:115" x14ac:dyDescent="0.2">
      <c r="B22" s="305" t="s">
        <v>6</v>
      </c>
      <c r="C22" s="305"/>
      <c r="D22" s="2">
        <v>0.18385000000000001</v>
      </c>
      <c r="E22" s="2">
        <v>0.24675</v>
      </c>
      <c r="F22" s="2">
        <v>0.25675999999999999</v>
      </c>
      <c r="G22" s="2">
        <v>1.5630000000000002E-2</v>
      </c>
      <c r="H22" s="180">
        <v>1.5630000000000002E-2</v>
      </c>
      <c r="I22" s="180">
        <v>0.21446999999999999</v>
      </c>
      <c r="J22" s="180">
        <v>0.21410999999999999</v>
      </c>
      <c r="K22" s="180">
        <v>0.30560999999999999</v>
      </c>
      <c r="L22" s="2">
        <v>2.5404200000000001</v>
      </c>
      <c r="M22" s="2">
        <v>2.7582100000000001</v>
      </c>
      <c r="N22" s="52">
        <v>675</v>
      </c>
      <c r="O22" s="53">
        <v>2088</v>
      </c>
      <c r="P22" s="52">
        <v>1810</v>
      </c>
      <c r="Q22" s="2">
        <v>0.22868000000000002</v>
      </c>
      <c r="R22" s="2">
        <v>0.27459</v>
      </c>
      <c r="S22" s="2">
        <v>0.33712999999999999</v>
      </c>
      <c r="T22" s="2">
        <v>0.29132999999999998</v>
      </c>
      <c r="U22" s="2">
        <v>0.24068000000000001</v>
      </c>
      <c r="V22" s="2">
        <v>0.31309999999999999</v>
      </c>
      <c r="W22" s="2">
        <v>0.44702999999999998</v>
      </c>
      <c r="X22" s="2">
        <v>0.32601999999999998</v>
      </c>
      <c r="Y22" s="2">
        <v>0.29132999999999998</v>
      </c>
      <c r="Z22" s="2">
        <v>0.24736</v>
      </c>
      <c r="AA22" s="2">
        <v>0.30945</v>
      </c>
      <c r="AB22" s="2">
        <v>0.45535999999999999</v>
      </c>
      <c r="AC22" s="2">
        <v>0.16930000000000001</v>
      </c>
      <c r="AD22" s="2">
        <v>0.17534</v>
      </c>
      <c r="AE22" s="2">
        <v>0.21207000000000001</v>
      </c>
      <c r="AF22" s="2">
        <v>8.931E-2</v>
      </c>
      <c r="AG22" s="2">
        <v>0.28502</v>
      </c>
      <c r="AH22" s="2">
        <v>0.78924000000000005</v>
      </c>
      <c r="AI22" s="2">
        <v>0.96384999999999998</v>
      </c>
      <c r="AJ22" s="2">
        <v>1.58108</v>
      </c>
      <c r="AK22" s="2">
        <v>1.3175300000000001</v>
      </c>
      <c r="AL22" s="2">
        <v>1.2664</v>
      </c>
      <c r="AM22" s="2">
        <v>1.50786</v>
      </c>
      <c r="AN22" s="2">
        <v>1.4932799999999999</v>
      </c>
      <c r="AO22" s="2">
        <v>1.41662</v>
      </c>
      <c r="AP22" s="2">
        <v>2.5941100000000001</v>
      </c>
      <c r="AQ22" s="2">
        <v>2.2090399999999999</v>
      </c>
      <c r="AR22" s="2">
        <v>0.25559999999999999</v>
      </c>
      <c r="AS22" s="180">
        <v>6.5450000000000008E-2</v>
      </c>
      <c r="AT22" s="180">
        <v>5.8069999999999997E-2</v>
      </c>
      <c r="AU22" s="180">
        <v>7.1730000000000002E-2</v>
      </c>
      <c r="AV22" s="180">
        <v>6.6100000000000006E-2</v>
      </c>
      <c r="AW22" s="180">
        <v>7.3499999999999996E-2</v>
      </c>
      <c r="AX22" s="180">
        <v>8.5569999999999993E-2</v>
      </c>
      <c r="AY22" s="180">
        <v>0.10764</v>
      </c>
      <c r="AZ22" s="180">
        <v>8.9309999999999987E-2</v>
      </c>
      <c r="BA22" s="180">
        <v>7.3499999999999996E-2</v>
      </c>
      <c r="BB22" s="180">
        <v>8.5569999999999993E-2</v>
      </c>
      <c r="BC22" s="180">
        <v>0.10764</v>
      </c>
      <c r="BD22" s="180">
        <v>8.9309999999999987E-2</v>
      </c>
      <c r="BE22" s="2">
        <v>0.13591</v>
      </c>
      <c r="BF22" s="2">
        <v>0.16559000000000001</v>
      </c>
      <c r="BG22" s="2">
        <v>0.28502</v>
      </c>
      <c r="BH22" s="2">
        <v>0.24736</v>
      </c>
      <c r="BI22" s="2">
        <v>0.30945</v>
      </c>
      <c r="BJ22" s="2">
        <v>0.45535999999999999</v>
      </c>
      <c r="BK22" s="2">
        <v>0.22868000000000002</v>
      </c>
      <c r="BL22" s="2">
        <v>0.27459</v>
      </c>
      <c r="BM22" s="2">
        <v>0.33712999999999999</v>
      </c>
      <c r="BN22" s="2">
        <v>0.16930000000000001</v>
      </c>
      <c r="BO22" s="2">
        <v>0.17534</v>
      </c>
      <c r="BP22" s="2">
        <v>0.21207000000000001</v>
      </c>
      <c r="BQ22" s="2">
        <v>8.931E-2</v>
      </c>
      <c r="BR22" s="2">
        <v>2.1700000000000001E-2</v>
      </c>
      <c r="BS22" s="2">
        <v>7.5799999999999999E-3</v>
      </c>
      <c r="BT22" s="2">
        <v>0.34399999999999997</v>
      </c>
      <c r="BU22" s="2">
        <v>0.70799999999999996</v>
      </c>
      <c r="BV22" s="180">
        <v>4060.1635999999999</v>
      </c>
      <c r="BW22" s="180" t="s">
        <v>741</v>
      </c>
      <c r="BX22" s="2">
        <v>3116.0562</v>
      </c>
      <c r="BY22" s="2">
        <v>656.4796</v>
      </c>
      <c r="BZ22" s="2">
        <v>2301.6181000000001</v>
      </c>
      <c r="CA22" s="2">
        <v>3777.9488999999999</v>
      </c>
      <c r="CB22" s="2">
        <v>1648.625</v>
      </c>
      <c r="CC22" s="2">
        <v>3177.0625</v>
      </c>
      <c r="CD22" s="2">
        <v>3413.0841999999998</v>
      </c>
      <c r="CE22" s="2">
        <v>604.26139999999998</v>
      </c>
      <c r="CF22" s="2">
        <v>2467.7757000000001</v>
      </c>
      <c r="CG22" s="2">
        <v>952.68190000000004</v>
      </c>
      <c r="CH22" s="2">
        <v>794.23500000000001</v>
      </c>
      <c r="CI22" s="180">
        <v>19</v>
      </c>
      <c r="CJ22" s="180">
        <v>529</v>
      </c>
      <c r="CK22" s="180">
        <v>21.3538</v>
      </c>
      <c r="CL22" s="180">
        <v>8.9863999999999997</v>
      </c>
      <c r="CM22" s="180">
        <v>21.3538</v>
      </c>
      <c r="CN22" s="180">
        <v>10.203900000000001</v>
      </c>
      <c r="CO22" s="180">
        <v>626.95920000000001</v>
      </c>
      <c r="CP22" s="180">
        <v>10.203900000000001</v>
      </c>
      <c r="CQ22" s="180">
        <v>21.3538</v>
      </c>
      <c r="CR22" s="180">
        <v>21.3538</v>
      </c>
      <c r="CS22" s="180">
        <v>10.203900000000001</v>
      </c>
      <c r="CT22" s="180">
        <v>99.759200000000007</v>
      </c>
      <c r="CU22" s="180">
        <v>10.203900000000001</v>
      </c>
      <c r="CV22" s="180">
        <v>21.3538</v>
      </c>
      <c r="CW22" s="180">
        <v>21.3538</v>
      </c>
      <c r="CX22" s="180">
        <v>8.9863999999999997</v>
      </c>
      <c r="CY22" s="180">
        <v>21.3538</v>
      </c>
      <c r="CZ22" s="180">
        <v>21.3538</v>
      </c>
      <c r="DA22" s="180">
        <v>21.3538</v>
      </c>
      <c r="DB22" s="180">
        <v>8.9863999999999997</v>
      </c>
      <c r="DC22" s="180">
        <v>21.3538</v>
      </c>
      <c r="DD22" s="180">
        <v>21.3538</v>
      </c>
      <c r="DE22" s="180">
        <v>21.3538</v>
      </c>
      <c r="DF22" s="180">
        <v>8.9863999999999997</v>
      </c>
      <c r="DG22" s="180">
        <v>21.3538</v>
      </c>
      <c r="DH22" s="180">
        <v>21.3538</v>
      </c>
      <c r="DI22" s="180">
        <v>10.203900000000001</v>
      </c>
      <c r="DJ22" s="180">
        <v>1041.8880999999999</v>
      </c>
    </row>
    <row r="23" spans="2:115" x14ac:dyDescent="0.2">
      <c r="B23" s="305" t="s">
        <v>51</v>
      </c>
      <c r="C23" s="305"/>
      <c r="D23" s="7">
        <v>0.18387000000000001</v>
      </c>
      <c r="E23" s="7">
        <v>0.24665999999999999</v>
      </c>
      <c r="F23" s="7">
        <v>0.25672</v>
      </c>
      <c r="G23" s="7">
        <v>1.545E-2</v>
      </c>
      <c r="H23" s="180">
        <v>1.545E-2</v>
      </c>
      <c r="I23" s="180">
        <v>0.21448</v>
      </c>
      <c r="J23" s="180">
        <v>0.21410999999999999</v>
      </c>
      <c r="K23" s="180">
        <v>0.34461999999999998</v>
      </c>
      <c r="L23" s="180">
        <v>2.5403899999999999</v>
      </c>
      <c r="M23" s="180">
        <v>2.7577600000000002</v>
      </c>
      <c r="N23" s="237">
        <v>675</v>
      </c>
      <c r="O23" s="237">
        <v>2088</v>
      </c>
      <c r="P23" s="237">
        <v>1810</v>
      </c>
      <c r="Q23" s="180">
        <v>0.22081999999999999</v>
      </c>
      <c r="R23" s="180">
        <v>0.26775000000000004</v>
      </c>
      <c r="S23" s="180">
        <v>0.32863000000000003</v>
      </c>
      <c r="T23" s="180">
        <v>0.28369000000000005</v>
      </c>
      <c r="U23" s="180">
        <v>0.23904</v>
      </c>
      <c r="V23" s="180">
        <v>0.30415999999999999</v>
      </c>
      <c r="W23" s="180">
        <v>0.43726999999999999</v>
      </c>
      <c r="X23" s="180">
        <v>0.30805000000000005</v>
      </c>
      <c r="Y23" s="180">
        <v>0.28369000000000005</v>
      </c>
      <c r="Z23" s="180">
        <v>0.23877000000000001</v>
      </c>
      <c r="AA23" s="180">
        <v>0.30029</v>
      </c>
      <c r="AB23" s="180">
        <v>0.44751999999999997</v>
      </c>
      <c r="AC23" s="180">
        <v>0.16538</v>
      </c>
      <c r="AD23" s="180">
        <v>0.17216000000000001</v>
      </c>
      <c r="AE23" s="180">
        <v>0.23303999999999997</v>
      </c>
      <c r="AF23" s="180">
        <v>8.4870000000000001E-2</v>
      </c>
      <c r="AG23" s="180">
        <v>0.27583999999999997</v>
      </c>
      <c r="AH23" s="180">
        <v>0.77651999999999999</v>
      </c>
      <c r="AI23" s="180">
        <v>0.94835000000000003</v>
      </c>
      <c r="AJ23" s="180">
        <v>1.55192</v>
      </c>
      <c r="AK23" s="180">
        <v>1.28928</v>
      </c>
      <c r="AL23" s="180">
        <v>1.24844</v>
      </c>
      <c r="AM23" s="180">
        <v>1.4864999999999999</v>
      </c>
      <c r="AN23" s="180">
        <v>1.47366</v>
      </c>
      <c r="AO23" s="180">
        <v>1.39273</v>
      </c>
      <c r="AP23" s="180">
        <v>2.54603</v>
      </c>
      <c r="AQ23" s="180">
        <v>2.1680199999999998</v>
      </c>
      <c r="AR23" s="180">
        <v>0.23313999999999999</v>
      </c>
      <c r="AS23" s="180">
        <v>5.373E-2</v>
      </c>
      <c r="AT23" s="180">
        <v>3.32E-2</v>
      </c>
      <c r="AU23" s="180">
        <v>4.3650000000000001E-2</v>
      </c>
      <c r="AV23" s="180">
        <v>4.0259999999999997E-2</v>
      </c>
      <c r="AW23" s="180">
        <v>6.8709999999999993E-2</v>
      </c>
      <c r="AX23" s="180">
        <v>8.2450000000000009E-2</v>
      </c>
      <c r="AY23" s="180">
        <v>9.849999999999999E-2</v>
      </c>
      <c r="AZ23" s="180">
        <v>8.4870000000000001E-2</v>
      </c>
      <c r="BA23" s="180">
        <v>6.4010000000000011E-2</v>
      </c>
      <c r="BB23" s="180">
        <v>8.9190000000000005E-2</v>
      </c>
      <c r="BC23" s="180">
        <v>0.12480000000000001</v>
      </c>
      <c r="BD23" s="180">
        <v>8.9270000000000002E-2</v>
      </c>
      <c r="BE23" s="180">
        <v>0.13321</v>
      </c>
      <c r="BF23" s="180">
        <v>0.1623</v>
      </c>
      <c r="BG23" s="180">
        <v>0.27583999999999997</v>
      </c>
      <c r="BH23" s="180">
        <v>0.23877000000000001</v>
      </c>
      <c r="BI23" s="180">
        <v>0.30029</v>
      </c>
      <c r="BJ23" s="180">
        <v>0.44751999999999997</v>
      </c>
      <c r="BK23" s="180">
        <v>0.22081999999999999</v>
      </c>
      <c r="BL23" s="180">
        <v>0.26775000000000004</v>
      </c>
      <c r="BM23" s="180">
        <v>0.32863000000000003</v>
      </c>
      <c r="BN23" s="180">
        <v>0.16538</v>
      </c>
      <c r="BO23" s="180">
        <v>0.17216000000000001</v>
      </c>
      <c r="BP23" s="180">
        <v>0.23303999999999997</v>
      </c>
      <c r="BQ23" s="180">
        <v>8.4870000000000001E-2</v>
      </c>
      <c r="BR23" s="180">
        <v>2.0049999999999998E-2</v>
      </c>
      <c r="BS23" s="180">
        <v>7.2899999999999996E-3</v>
      </c>
      <c r="BT23" s="180">
        <v>0.34399999999999997</v>
      </c>
      <c r="BU23" s="180">
        <v>0.70799999999999996</v>
      </c>
      <c r="BV23" s="180">
        <v>3701.4036000000001</v>
      </c>
      <c r="BW23" s="180">
        <v>24865.47556489753</v>
      </c>
      <c r="BX23" s="2">
        <v>3116.2916</v>
      </c>
      <c r="BY23" s="2">
        <v>600</v>
      </c>
      <c r="BZ23" s="2">
        <v>2326.5302999999999</v>
      </c>
      <c r="CA23" s="2">
        <v>3777.9488999999999</v>
      </c>
      <c r="CB23" s="2">
        <v>600</v>
      </c>
      <c r="CC23" s="2">
        <v>3198.9573</v>
      </c>
      <c r="CD23" s="2">
        <v>3413.0841999999998</v>
      </c>
      <c r="CE23" s="2">
        <v>600</v>
      </c>
      <c r="CF23" s="2">
        <v>2489.6704</v>
      </c>
      <c r="CG23" s="2">
        <v>919.3963</v>
      </c>
      <c r="CH23" s="2">
        <v>739.3963</v>
      </c>
      <c r="CI23" s="180">
        <v>21.316700000000001</v>
      </c>
      <c r="CJ23" s="180">
        <v>21.316700000000001</v>
      </c>
      <c r="CK23" s="180">
        <v>21.316700000000001</v>
      </c>
      <c r="CL23" s="180">
        <v>8.9344000000000001</v>
      </c>
      <c r="CM23" s="180">
        <v>21.316700000000001</v>
      </c>
      <c r="CN23" s="180">
        <v>10.203900000000001</v>
      </c>
      <c r="CO23" s="180">
        <v>626.90729999999996</v>
      </c>
      <c r="CP23" s="180">
        <v>10.203900000000001</v>
      </c>
      <c r="CQ23" s="180">
        <v>21.316700000000001</v>
      </c>
      <c r="CR23" s="180">
        <v>21.316700000000001</v>
      </c>
      <c r="CS23" s="180">
        <v>458.17630000000003</v>
      </c>
      <c r="CT23" s="180">
        <v>10.203900000000001</v>
      </c>
      <c r="CU23" s="180">
        <v>10.203900000000001</v>
      </c>
      <c r="CV23" s="180">
        <v>21.316700000000001</v>
      </c>
      <c r="CW23" s="180">
        <v>21.316700000000001</v>
      </c>
      <c r="CX23" s="180">
        <v>8.9863999999999997</v>
      </c>
      <c r="CY23" s="180">
        <v>21.316700000000001</v>
      </c>
      <c r="CZ23" s="180">
        <v>21.316700000000001</v>
      </c>
      <c r="DA23" s="180">
        <v>21.316700000000001</v>
      </c>
      <c r="DB23" s="180">
        <v>8.9863999999999997</v>
      </c>
      <c r="DC23" s="180">
        <v>21.316700000000001</v>
      </c>
      <c r="DD23" s="180">
        <v>21.316700000000001</v>
      </c>
      <c r="DE23" s="180">
        <v>21.316700000000001</v>
      </c>
      <c r="DF23" s="180">
        <v>8.9344000000000001</v>
      </c>
      <c r="DG23" s="180">
        <v>21.316700000000001</v>
      </c>
      <c r="DH23" s="180">
        <v>21.316700000000001</v>
      </c>
      <c r="DI23" s="180">
        <v>10.203900000000001</v>
      </c>
      <c r="DJ23" s="180">
        <v>1041.8361</v>
      </c>
    </row>
    <row r="24" spans="2:115" x14ac:dyDescent="0.2">
      <c r="B24" s="305" t="s">
        <v>52</v>
      </c>
      <c r="C24" s="305"/>
      <c r="D24" s="180">
        <v>0.18315999999999999</v>
      </c>
      <c r="E24" s="180">
        <v>0.24676999999999999</v>
      </c>
      <c r="F24" s="180">
        <v>0.25679000000000002</v>
      </c>
      <c r="G24" s="180">
        <v>1.5129999999999999E-2</v>
      </c>
      <c r="H24" s="180">
        <v>1.5129999999999999E-2</v>
      </c>
      <c r="I24" s="180">
        <v>0.21448999999999999</v>
      </c>
      <c r="J24" s="180">
        <v>0.21410999999999999</v>
      </c>
      <c r="K24" s="180">
        <v>0.34461999999999998</v>
      </c>
      <c r="L24" s="180">
        <v>2.5401400000000001</v>
      </c>
      <c r="M24" s="180">
        <v>2.7585700000000002</v>
      </c>
      <c r="N24" s="53">
        <v>675</v>
      </c>
      <c r="O24" s="53">
        <v>2088</v>
      </c>
      <c r="P24" s="53">
        <v>1810</v>
      </c>
      <c r="Q24" s="180">
        <v>0.22142999999999999</v>
      </c>
      <c r="R24" s="180">
        <v>0.26549</v>
      </c>
      <c r="S24" s="180">
        <v>0.33348</v>
      </c>
      <c r="T24" s="180">
        <v>0.28170000000000001</v>
      </c>
      <c r="U24" s="180">
        <v>0.23608000000000001</v>
      </c>
      <c r="V24" s="180">
        <v>0.29476000000000002</v>
      </c>
      <c r="W24" s="180">
        <v>0.42695</v>
      </c>
      <c r="X24" s="180">
        <v>0.32793</v>
      </c>
      <c r="Y24" s="7">
        <v>0.42695</v>
      </c>
      <c r="Z24" s="180">
        <v>0.24052000000000001</v>
      </c>
      <c r="AA24" s="180">
        <v>0.30231000000000002</v>
      </c>
      <c r="AB24" s="180">
        <v>0.44913999999999998</v>
      </c>
      <c r="AC24" s="180">
        <v>0.16889000000000001</v>
      </c>
      <c r="AD24" s="180">
        <v>0.17635000000000001</v>
      </c>
      <c r="AE24" s="180">
        <v>0.24382000000000001</v>
      </c>
      <c r="AF24" s="180">
        <v>8.097E-2</v>
      </c>
      <c r="AG24" s="180">
        <v>0.27595999999999998</v>
      </c>
      <c r="AH24" s="180">
        <v>0.77342</v>
      </c>
      <c r="AI24" s="180">
        <v>0.94455999999999996</v>
      </c>
      <c r="AJ24" s="180">
        <v>1.54098</v>
      </c>
      <c r="AK24" s="180">
        <v>1.2923899999999999</v>
      </c>
      <c r="AL24" s="180">
        <v>1.2387999999999999</v>
      </c>
      <c r="AM24" s="180">
        <v>1.4749399999999999</v>
      </c>
      <c r="AN24" s="180">
        <v>1.4652700000000001</v>
      </c>
      <c r="AO24" s="180">
        <v>1.3905799999999999</v>
      </c>
      <c r="AP24" s="180">
        <v>2.51233</v>
      </c>
      <c r="AQ24" s="7">
        <v>2.1935199999999999</v>
      </c>
      <c r="AR24" s="180">
        <v>0.21232999999999999</v>
      </c>
      <c r="AS24" s="180">
        <v>4.9200000000000001E-2</v>
      </c>
      <c r="AT24" s="180">
        <v>3.1809999999999998E-2</v>
      </c>
      <c r="AU24" s="180">
        <v>4.1680000000000002E-2</v>
      </c>
      <c r="AV24" s="180">
        <v>3.8350000000000002E-2</v>
      </c>
      <c r="AW24" s="180">
        <v>6.7500000000000004E-2</v>
      </c>
      <c r="AX24" s="180">
        <v>7.7670000000000003E-2</v>
      </c>
      <c r="AY24" s="180">
        <v>8.9690000000000006E-2</v>
      </c>
      <c r="AZ24" s="180">
        <v>8.097E-2</v>
      </c>
      <c r="BA24" s="180">
        <v>5.849E-2</v>
      </c>
      <c r="BB24" s="180">
        <v>8.072E-2</v>
      </c>
      <c r="BC24" s="180">
        <v>0.11325</v>
      </c>
      <c r="BD24" s="180">
        <v>8.0780000000000005E-2</v>
      </c>
      <c r="BE24" s="180">
        <v>0.13369</v>
      </c>
      <c r="BF24" s="180">
        <v>0.16236999999999999</v>
      </c>
      <c r="BG24" s="180">
        <v>0.27595999999999998</v>
      </c>
      <c r="BH24" s="180">
        <v>0.24052000000000001</v>
      </c>
      <c r="BI24" s="180">
        <v>0.30231000000000002</v>
      </c>
      <c r="BJ24" s="180">
        <v>0.44913999999999998</v>
      </c>
      <c r="BK24" s="180">
        <v>0.22142999999999999</v>
      </c>
      <c r="BL24" s="180">
        <v>0.26549</v>
      </c>
      <c r="BM24" s="180">
        <v>0.33348</v>
      </c>
      <c r="BN24" s="180">
        <v>0.16889000000000001</v>
      </c>
      <c r="BO24" s="180">
        <v>0.17635000000000001</v>
      </c>
      <c r="BP24" s="180">
        <v>0.24382000000000001</v>
      </c>
      <c r="BQ24" s="180">
        <v>8.097E-2</v>
      </c>
      <c r="BR24" s="180">
        <v>1.8790000000000001E-2</v>
      </c>
      <c r="BS24" s="180">
        <v>7.1700000000000002E-3</v>
      </c>
      <c r="BT24" s="180">
        <v>0.14899999999999999</v>
      </c>
      <c r="BU24" s="180">
        <v>0.27200000000000002</v>
      </c>
      <c r="BV24" s="2">
        <v>3701.4</v>
      </c>
      <c r="BW24" s="2">
        <v>24865.48</v>
      </c>
      <c r="BX24" s="2">
        <v>3116.29</v>
      </c>
      <c r="BY24" s="2">
        <v>600</v>
      </c>
      <c r="BZ24" s="2">
        <v>2326.5300000000002</v>
      </c>
      <c r="CA24" s="2">
        <v>3777.95</v>
      </c>
      <c r="CB24" s="2">
        <v>600</v>
      </c>
      <c r="CC24" s="2">
        <v>3198.96</v>
      </c>
      <c r="CD24" s="2">
        <v>3413.08</v>
      </c>
      <c r="CE24" s="2">
        <v>600</v>
      </c>
      <c r="CF24" s="2">
        <v>2489.67</v>
      </c>
      <c r="CG24" s="2">
        <v>919.4</v>
      </c>
      <c r="CH24" s="2">
        <v>739.4</v>
      </c>
      <c r="CI24" s="180">
        <v>21.294</v>
      </c>
      <c r="CJ24" s="180">
        <v>21.294</v>
      </c>
      <c r="CK24" s="180">
        <v>21.294</v>
      </c>
      <c r="CL24" s="180">
        <v>8.9019999999999992</v>
      </c>
      <c r="CM24" s="180">
        <v>21.294</v>
      </c>
      <c r="CN24" s="180">
        <v>8.9510000000000005</v>
      </c>
      <c r="CO24" s="180">
        <v>626.875</v>
      </c>
      <c r="CP24" s="180">
        <v>8.9510000000000005</v>
      </c>
      <c r="CQ24" s="180">
        <v>21.294</v>
      </c>
      <c r="CR24" s="180">
        <v>21.294</v>
      </c>
      <c r="CS24" s="180">
        <v>8.9510000000000005</v>
      </c>
      <c r="CT24" s="180">
        <v>467.04599999999999</v>
      </c>
      <c r="CU24" s="180">
        <v>8.9510000000000005</v>
      </c>
      <c r="CV24" s="180">
        <v>21.294</v>
      </c>
      <c r="CW24" s="180">
        <v>21.294</v>
      </c>
      <c r="CX24" s="180">
        <v>8.9019999999999992</v>
      </c>
      <c r="CY24" s="180">
        <v>21.294</v>
      </c>
      <c r="CZ24" s="180">
        <v>21.294</v>
      </c>
      <c r="DA24" s="180">
        <v>21.294</v>
      </c>
      <c r="DB24" s="180">
        <v>8.9019999999999992</v>
      </c>
      <c r="DC24" s="180">
        <v>21.294</v>
      </c>
      <c r="DD24" s="180">
        <v>21.294</v>
      </c>
      <c r="DE24" s="180">
        <v>21.294</v>
      </c>
      <c r="DF24" s="180">
        <v>8.9019999999999992</v>
      </c>
      <c r="DG24" s="180">
        <v>21.294</v>
      </c>
      <c r="DH24" s="180">
        <v>21.294</v>
      </c>
      <c r="DI24" s="180">
        <v>8.9510000000000005</v>
      </c>
      <c r="DJ24" s="180">
        <v>1041.8040000000001</v>
      </c>
    </row>
    <row r="25" spans="2:115" x14ac:dyDescent="0.2">
      <c r="B25" s="305" t="s">
        <v>53</v>
      </c>
      <c r="C25" s="305"/>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182"/>
      <c r="BW25" s="182"/>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row>
    <row r="26" spans="2:115" x14ac:dyDescent="0.2">
      <c r="B26" s="305" t="s">
        <v>54</v>
      </c>
      <c r="C26" s="305"/>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182"/>
      <c r="BW26" s="182"/>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row>
    <row r="27" spans="2:115" x14ac:dyDescent="0.2">
      <c r="B27" s="305" t="s">
        <v>55</v>
      </c>
      <c r="C27" s="305"/>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182"/>
      <c r="BW27" s="182"/>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row>
    <row r="28" spans="2:115" x14ac:dyDescent="0.2">
      <c r="B28" s="305" t="s">
        <v>56</v>
      </c>
      <c r="C28" s="305"/>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182"/>
      <c r="BW28" s="182"/>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row>
    <row r="29" spans="2:115" x14ac:dyDescent="0.2">
      <c r="B29" s="305" t="s">
        <v>57</v>
      </c>
      <c r="C29" s="305"/>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182"/>
      <c r="BW29" s="182"/>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row>
    <row r="32" spans="2:115" ht="15" x14ac:dyDescent="0.2">
      <c r="B32" s="30" t="s">
        <v>554</v>
      </c>
      <c r="C32" s="31"/>
      <c r="D32" s="31"/>
    </row>
    <row r="33" spans="2:4" x14ac:dyDescent="0.2">
      <c r="B33" s="280" t="s">
        <v>555</v>
      </c>
      <c r="C33" s="280"/>
      <c r="D33" s="280"/>
    </row>
  </sheetData>
  <mergeCells count="31">
    <mergeCell ref="BV16:CG16"/>
    <mergeCell ref="CI16:DJ16"/>
    <mergeCell ref="BE14:DJ14"/>
    <mergeCell ref="BE16:BQ16"/>
    <mergeCell ref="BT16:BU16"/>
    <mergeCell ref="C7:M7"/>
    <mergeCell ref="C11:D11"/>
    <mergeCell ref="C9:D9"/>
    <mergeCell ref="AP16:AQ16"/>
    <mergeCell ref="L16:M16"/>
    <mergeCell ref="Q16:AO16"/>
    <mergeCell ref="N16:P16"/>
    <mergeCell ref="D14:AQ14"/>
    <mergeCell ref="D16:K16"/>
    <mergeCell ref="AR14:BD14"/>
    <mergeCell ref="AS16:BD16"/>
    <mergeCell ref="B17:C17"/>
    <mergeCell ref="B18:C18"/>
    <mergeCell ref="B19:C19"/>
    <mergeCell ref="B16:C16"/>
    <mergeCell ref="B33:D33"/>
    <mergeCell ref="B20:C20"/>
    <mergeCell ref="B21:C21"/>
    <mergeCell ref="B22:C22"/>
    <mergeCell ref="B28:C28"/>
    <mergeCell ref="B29:C29"/>
    <mergeCell ref="B23:C23"/>
    <mergeCell ref="B24:C24"/>
    <mergeCell ref="B25:C25"/>
    <mergeCell ref="B26:C26"/>
    <mergeCell ref="B27:C27"/>
  </mergeCells>
  <hyperlinks>
    <hyperlink ref="C7" r:id="rId1" xr:uid="{9D80C796-1FE1-431A-955B-3E490162C36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E4405-F3D6-4FBA-9A7D-543BC1D516D9}">
  <dimension ref="B2:AL382"/>
  <sheetViews>
    <sheetView topLeftCell="H1" workbookViewId="0">
      <selection activeCell="N7" sqref="N7"/>
    </sheetView>
  </sheetViews>
  <sheetFormatPr defaultColWidth="8.75" defaultRowHeight="14.25" x14ac:dyDescent="0.2"/>
  <cols>
    <col min="2" max="2" width="13.75" bestFit="1" customWidth="1"/>
    <col min="4" max="4" width="22.625" bestFit="1" customWidth="1"/>
    <col min="6" max="6" width="31.25" bestFit="1" customWidth="1"/>
    <col min="8" max="8" width="33.125" bestFit="1" customWidth="1"/>
    <col min="10" max="10" width="33.125" bestFit="1" customWidth="1"/>
    <col min="12" max="12" width="11.75" bestFit="1" customWidth="1"/>
    <col min="16" max="16" width="26.625" bestFit="1" customWidth="1"/>
    <col min="18" max="18" width="10.25" bestFit="1" customWidth="1"/>
    <col min="20" max="20" width="12.5" bestFit="1" customWidth="1"/>
    <col min="22" max="22" width="22.625" customWidth="1"/>
    <col min="24" max="24" width="22.25" customWidth="1"/>
    <col min="26" max="26" width="12.625" customWidth="1"/>
    <col min="28" max="28" width="18" customWidth="1"/>
    <col min="29" max="29" width="9.125" customWidth="1"/>
    <col min="30" max="30" width="18.5" customWidth="1"/>
    <col min="32" max="32" width="14.875" customWidth="1"/>
    <col min="34" max="34" width="12" customWidth="1"/>
    <col min="36" max="36" width="13.75" customWidth="1"/>
    <col min="38" max="38" width="13.125" customWidth="1"/>
  </cols>
  <sheetData>
    <row r="2" spans="2:38" x14ac:dyDescent="0.2">
      <c r="B2" t="s">
        <v>33</v>
      </c>
      <c r="D2" t="s">
        <v>482</v>
      </c>
      <c r="F2" t="s">
        <v>443</v>
      </c>
      <c r="H2" t="s">
        <v>442</v>
      </c>
      <c r="J2" t="s">
        <v>444</v>
      </c>
      <c r="L2" t="s">
        <v>497</v>
      </c>
      <c r="N2" t="s">
        <v>730</v>
      </c>
      <c r="P2" t="s">
        <v>498</v>
      </c>
      <c r="R2" t="s">
        <v>523</v>
      </c>
      <c r="T2" t="s">
        <v>527</v>
      </c>
      <c r="V2" t="s">
        <v>658</v>
      </c>
      <c r="X2" t="s">
        <v>659</v>
      </c>
      <c r="Z2" t="s">
        <v>660</v>
      </c>
      <c r="AB2" t="s">
        <v>667</v>
      </c>
      <c r="AD2" t="s">
        <v>668</v>
      </c>
      <c r="AF2" t="s">
        <v>669</v>
      </c>
      <c r="AH2" t="s">
        <v>670</v>
      </c>
      <c r="AJ2" t="s">
        <v>671</v>
      </c>
      <c r="AL2" t="s">
        <v>672</v>
      </c>
    </row>
    <row r="4" spans="2:38" x14ac:dyDescent="0.2">
      <c r="B4" t="s">
        <v>1</v>
      </c>
      <c r="D4" t="s">
        <v>495</v>
      </c>
      <c r="H4" t="s">
        <v>448</v>
      </c>
      <c r="J4" t="s">
        <v>448</v>
      </c>
      <c r="L4" t="s">
        <v>462</v>
      </c>
      <c r="N4" t="s">
        <v>462</v>
      </c>
      <c r="P4" t="s">
        <v>496</v>
      </c>
      <c r="R4" t="s">
        <v>25</v>
      </c>
      <c r="T4" t="s">
        <v>24</v>
      </c>
      <c r="V4" t="s">
        <v>462</v>
      </c>
      <c r="X4" t="s">
        <v>462</v>
      </c>
      <c r="Z4" t="s">
        <v>462</v>
      </c>
      <c r="AB4" t="s">
        <v>462</v>
      </c>
      <c r="AD4" t="s">
        <v>462</v>
      </c>
      <c r="AF4" t="s">
        <v>462</v>
      </c>
      <c r="AH4" t="s">
        <v>462</v>
      </c>
      <c r="AJ4" t="s">
        <v>462</v>
      </c>
      <c r="AL4" t="s">
        <v>462</v>
      </c>
    </row>
    <row r="5" spans="2:38" x14ac:dyDescent="0.2">
      <c r="B5" t="s">
        <v>2</v>
      </c>
      <c r="D5" t="s">
        <v>483</v>
      </c>
      <c r="F5" t="s">
        <v>255</v>
      </c>
      <c r="H5" t="s">
        <v>437</v>
      </c>
      <c r="J5" t="s">
        <v>426</v>
      </c>
      <c r="L5" t="s">
        <v>461</v>
      </c>
      <c r="N5" t="s">
        <v>45</v>
      </c>
      <c r="P5" t="s">
        <v>41</v>
      </c>
      <c r="R5" t="s">
        <v>524</v>
      </c>
      <c r="T5" t="s">
        <v>524</v>
      </c>
      <c r="V5" t="s">
        <v>654</v>
      </c>
      <c r="X5" t="s">
        <v>654</v>
      </c>
      <c r="Z5" t="s">
        <v>661</v>
      </c>
      <c r="AB5" t="s">
        <v>663</v>
      </c>
      <c r="AD5" t="s">
        <v>662</v>
      </c>
      <c r="AF5" t="s">
        <v>661</v>
      </c>
      <c r="AH5" t="s">
        <v>661</v>
      </c>
      <c r="AJ5" t="s">
        <v>661</v>
      </c>
      <c r="AL5" t="s">
        <v>662</v>
      </c>
    </row>
    <row r="6" spans="2:38" x14ac:dyDescent="0.2">
      <c r="B6" t="s">
        <v>3</v>
      </c>
      <c r="D6" t="s">
        <v>484</v>
      </c>
      <c r="F6" t="s">
        <v>106</v>
      </c>
      <c r="H6" t="s">
        <v>437</v>
      </c>
      <c r="J6" t="s">
        <v>404</v>
      </c>
      <c r="L6" t="s">
        <v>463</v>
      </c>
      <c r="N6" t="s">
        <v>731</v>
      </c>
      <c r="P6" t="s">
        <v>42</v>
      </c>
      <c r="V6" t="s">
        <v>655</v>
      </c>
      <c r="X6" t="s">
        <v>656</v>
      </c>
      <c r="Z6" t="s">
        <v>662</v>
      </c>
      <c r="AB6" t="s">
        <v>665</v>
      </c>
      <c r="AD6" t="s">
        <v>663</v>
      </c>
      <c r="AF6" t="s">
        <v>663</v>
      </c>
      <c r="AH6" t="s">
        <v>662</v>
      </c>
      <c r="AJ6" t="s">
        <v>662</v>
      </c>
      <c r="AL6" t="s">
        <v>663</v>
      </c>
    </row>
    <row r="7" spans="2:38" x14ac:dyDescent="0.2">
      <c r="B7" t="s">
        <v>4</v>
      </c>
      <c r="D7" t="s">
        <v>485</v>
      </c>
      <c r="F7" t="s">
        <v>112</v>
      </c>
      <c r="H7" t="s">
        <v>437</v>
      </c>
      <c r="J7" t="s">
        <v>405</v>
      </c>
      <c r="V7" t="s">
        <v>656</v>
      </c>
      <c r="Z7" t="s">
        <v>663</v>
      </c>
      <c r="AB7" t="s">
        <v>664</v>
      </c>
      <c r="AD7" t="s">
        <v>665</v>
      </c>
      <c r="AF7" t="s">
        <v>664</v>
      </c>
      <c r="AH7" t="s">
        <v>663</v>
      </c>
      <c r="AJ7" t="s">
        <v>663</v>
      </c>
      <c r="AL7" t="s">
        <v>665</v>
      </c>
    </row>
    <row r="8" spans="2:38" x14ac:dyDescent="0.2">
      <c r="B8" t="s">
        <v>5</v>
      </c>
      <c r="D8" t="s">
        <v>486</v>
      </c>
      <c r="F8" t="s">
        <v>256</v>
      </c>
      <c r="H8" t="s">
        <v>437</v>
      </c>
      <c r="J8" t="s">
        <v>426</v>
      </c>
      <c r="Z8" t="s">
        <v>664</v>
      </c>
      <c r="AB8" t="s">
        <v>666</v>
      </c>
      <c r="AD8" t="s">
        <v>664</v>
      </c>
      <c r="AH8" t="s">
        <v>664</v>
      </c>
      <c r="AJ8" t="s">
        <v>664</v>
      </c>
      <c r="AL8" t="s">
        <v>664</v>
      </c>
    </row>
    <row r="9" spans="2:38" x14ac:dyDescent="0.2">
      <c r="B9" t="s">
        <v>6</v>
      </c>
      <c r="D9" t="s">
        <v>487</v>
      </c>
      <c r="F9" t="s">
        <v>217</v>
      </c>
      <c r="H9" t="s">
        <v>437</v>
      </c>
      <c r="J9" t="s">
        <v>419</v>
      </c>
      <c r="AD9" t="s">
        <v>666</v>
      </c>
    </row>
    <row r="10" spans="2:38" x14ac:dyDescent="0.2">
      <c r="B10" t="s">
        <v>51</v>
      </c>
      <c r="D10" t="s">
        <v>488</v>
      </c>
      <c r="F10" t="s">
        <v>161</v>
      </c>
      <c r="H10" t="s">
        <v>437</v>
      </c>
      <c r="J10" t="s">
        <v>412</v>
      </c>
    </row>
    <row r="11" spans="2:38" x14ac:dyDescent="0.2">
      <c r="B11" t="s">
        <v>52</v>
      </c>
      <c r="D11" t="s">
        <v>489</v>
      </c>
      <c r="F11" t="s">
        <v>98</v>
      </c>
      <c r="H11" t="s">
        <v>437</v>
      </c>
      <c r="J11" t="s">
        <v>402</v>
      </c>
    </row>
    <row r="12" spans="2:38" x14ac:dyDescent="0.2">
      <c r="B12" t="s">
        <v>53</v>
      </c>
      <c r="D12" t="s">
        <v>490</v>
      </c>
      <c r="F12" t="s">
        <v>240</v>
      </c>
      <c r="H12" t="s">
        <v>437</v>
      </c>
      <c r="J12" t="s">
        <v>423</v>
      </c>
    </row>
    <row r="13" spans="2:38" x14ac:dyDescent="0.2">
      <c r="B13" t="s">
        <v>54</v>
      </c>
      <c r="D13" t="s">
        <v>491</v>
      </c>
      <c r="F13" t="s">
        <v>291</v>
      </c>
      <c r="H13" t="s">
        <v>438</v>
      </c>
      <c r="J13" t="s">
        <v>445</v>
      </c>
    </row>
    <row r="14" spans="2:38" x14ac:dyDescent="0.2">
      <c r="B14" t="s">
        <v>55</v>
      </c>
      <c r="D14" t="s">
        <v>492</v>
      </c>
      <c r="F14" t="s">
        <v>292</v>
      </c>
      <c r="H14" t="s">
        <v>438</v>
      </c>
      <c r="J14" t="s">
        <v>445</v>
      </c>
    </row>
    <row r="15" spans="2:38" x14ac:dyDescent="0.2">
      <c r="B15" t="s">
        <v>56</v>
      </c>
      <c r="D15" t="s">
        <v>493</v>
      </c>
      <c r="F15" t="s">
        <v>71</v>
      </c>
      <c r="H15" t="s">
        <v>436</v>
      </c>
      <c r="J15" t="s">
        <v>429</v>
      </c>
    </row>
    <row r="16" spans="2:38" x14ac:dyDescent="0.2">
      <c r="B16" t="s">
        <v>57</v>
      </c>
      <c r="D16" t="s">
        <v>494</v>
      </c>
      <c r="F16" t="s">
        <v>107</v>
      </c>
      <c r="H16" t="s">
        <v>437</v>
      </c>
      <c r="J16" t="s">
        <v>404</v>
      </c>
    </row>
    <row r="17" spans="6:10" x14ac:dyDescent="0.2">
      <c r="F17" t="s">
        <v>130</v>
      </c>
      <c r="H17" t="s">
        <v>437</v>
      </c>
      <c r="J17" t="s">
        <v>408</v>
      </c>
    </row>
    <row r="18" spans="6:10" x14ac:dyDescent="0.2">
      <c r="F18" t="s">
        <v>147</v>
      </c>
      <c r="H18" t="s">
        <v>437</v>
      </c>
      <c r="J18" t="s">
        <v>410</v>
      </c>
    </row>
    <row r="19" spans="6:10" x14ac:dyDescent="0.2">
      <c r="F19" t="s">
        <v>218</v>
      </c>
      <c r="H19" t="s">
        <v>437</v>
      </c>
      <c r="J19" t="s">
        <v>419</v>
      </c>
    </row>
    <row r="20" spans="6:10" x14ac:dyDescent="0.2">
      <c r="F20" t="s">
        <v>338</v>
      </c>
      <c r="H20" t="s">
        <v>439</v>
      </c>
      <c r="J20" t="s">
        <v>433</v>
      </c>
    </row>
    <row r="21" spans="6:10" x14ac:dyDescent="0.2">
      <c r="F21" t="s">
        <v>363</v>
      </c>
      <c r="H21" t="s">
        <v>439</v>
      </c>
      <c r="J21" t="s">
        <v>434</v>
      </c>
    </row>
    <row r="22" spans="6:10" x14ac:dyDescent="0.2">
      <c r="F22" t="s">
        <v>320</v>
      </c>
      <c r="H22" t="s">
        <v>438</v>
      </c>
      <c r="J22" t="s">
        <v>445</v>
      </c>
    </row>
    <row r="23" spans="6:10" x14ac:dyDescent="0.2">
      <c r="F23" t="s">
        <v>78</v>
      </c>
      <c r="H23" t="s">
        <v>436</v>
      </c>
      <c r="J23" t="s">
        <v>431</v>
      </c>
    </row>
    <row r="24" spans="6:10" x14ac:dyDescent="0.2">
      <c r="F24" t="s">
        <v>185</v>
      </c>
      <c r="H24" t="s">
        <v>437</v>
      </c>
      <c r="J24" t="s">
        <v>414</v>
      </c>
    </row>
    <row r="25" spans="6:10" x14ac:dyDescent="0.2">
      <c r="F25" t="s">
        <v>330</v>
      </c>
      <c r="H25" t="s">
        <v>439</v>
      </c>
      <c r="J25" t="s">
        <v>428</v>
      </c>
    </row>
    <row r="26" spans="6:10" x14ac:dyDescent="0.2">
      <c r="F26" t="s">
        <v>366</v>
      </c>
      <c r="H26" t="s">
        <v>439</v>
      </c>
      <c r="J26" t="s">
        <v>428</v>
      </c>
    </row>
    <row r="27" spans="6:10" x14ac:dyDescent="0.2">
      <c r="F27" t="s">
        <v>401</v>
      </c>
      <c r="H27" t="s">
        <v>439</v>
      </c>
      <c r="J27" t="s">
        <v>446</v>
      </c>
    </row>
    <row r="28" spans="6:10" x14ac:dyDescent="0.2">
      <c r="F28" t="s">
        <v>113</v>
      </c>
      <c r="H28" t="s">
        <v>437</v>
      </c>
      <c r="J28" t="s">
        <v>405</v>
      </c>
    </row>
    <row r="29" spans="6:10" x14ac:dyDescent="0.2">
      <c r="F29" t="s">
        <v>62</v>
      </c>
      <c r="H29" t="s">
        <v>436</v>
      </c>
      <c r="J29" t="s">
        <v>428</v>
      </c>
    </row>
    <row r="30" spans="6:10" x14ac:dyDescent="0.2">
      <c r="F30" t="s">
        <v>191</v>
      </c>
      <c r="H30" t="s">
        <v>437</v>
      </c>
      <c r="J30" t="s">
        <v>415</v>
      </c>
    </row>
    <row r="31" spans="6:10" x14ac:dyDescent="0.2">
      <c r="F31" t="s">
        <v>379</v>
      </c>
      <c r="H31" t="s">
        <v>439</v>
      </c>
      <c r="J31" t="s">
        <v>433</v>
      </c>
    </row>
    <row r="32" spans="6:10" x14ac:dyDescent="0.2">
      <c r="F32" t="s">
        <v>354</v>
      </c>
      <c r="H32" t="s">
        <v>439</v>
      </c>
      <c r="J32" t="s">
        <v>433</v>
      </c>
    </row>
    <row r="33" spans="6:10" x14ac:dyDescent="0.2">
      <c r="F33" t="s">
        <v>346</v>
      </c>
      <c r="H33" t="s">
        <v>439</v>
      </c>
      <c r="J33" t="s">
        <v>435</v>
      </c>
    </row>
    <row r="34" spans="6:10" x14ac:dyDescent="0.2">
      <c r="F34" t="s">
        <v>81</v>
      </c>
      <c r="H34" t="s">
        <v>436</v>
      </c>
      <c r="J34" t="s">
        <v>429</v>
      </c>
    </row>
    <row r="35" spans="6:10" x14ac:dyDescent="0.2">
      <c r="F35" t="s">
        <v>131</v>
      </c>
      <c r="H35" t="s">
        <v>437</v>
      </c>
      <c r="J35" t="s">
        <v>408</v>
      </c>
    </row>
    <row r="36" spans="6:10" x14ac:dyDescent="0.2">
      <c r="F36" t="s">
        <v>197</v>
      </c>
      <c r="H36" t="s">
        <v>437</v>
      </c>
      <c r="J36" t="s">
        <v>416</v>
      </c>
    </row>
    <row r="37" spans="6:10" x14ac:dyDescent="0.2">
      <c r="F37" t="s">
        <v>293</v>
      </c>
      <c r="H37" t="s">
        <v>438</v>
      </c>
      <c r="J37" t="s">
        <v>445</v>
      </c>
    </row>
    <row r="38" spans="6:10" x14ac:dyDescent="0.2">
      <c r="F38" t="s">
        <v>132</v>
      </c>
      <c r="H38" t="s">
        <v>437</v>
      </c>
      <c r="J38" t="s">
        <v>408</v>
      </c>
    </row>
    <row r="39" spans="6:10" x14ac:dyDescent="0.2">
      <c r="F39" t="s">
        <v>399</v>
      </c>
      <c r="H39" t="s">
        <v>439</v>
      </c>
      <c r="J39" t="s">
        <v>446</v>
      </c>
    </row>
    <row r="40" spans="6:10" x14ac:dyDescent="0.2">
      <c r="F40" t="s">
        <v>352</v>
      </c>
      <c r="H40" t="s">
        <v>439</v>
      </c>
      <c r="J40" t="s">
        <v>435</v>
      </c>
    </row>
    <row r="41" spans="6:10" x14ac:dyDescent="0.2">
      <c r="F41" t="s">
        <v>376</v>
      </c>
      <c r="H41" t="s">
        <v>439</v>
      </c>
      <c r="J41" t="s">
        <v>433</v>
      </c>
    </row>
    <row r="42" spans="6:10" x14ac:dyDescent="0.2">
      <c r="F42" t="s">
        <v>198</v>
      </c>
      <c r="H42" t="s">
        <v>437</v>
      </c>
      <c r="J42" t="s">
        <v>416</v>
      </c>
    </row>
    <row r="43" spans="6:10" x14ac:dyDescent="0.2">
      <c r="F43" t="s">
        <v>294</v>
      </c>
      <c r="H43" t="s">
        <v>438</v>
      </c>
      <c r="J43" t="s">
        <v>445</v>
      </c>
    </row>
    <row r="44" spans="6:10" x14ac:dyDescent="0.2">
      <c r="F44" t="s">
        <v>260</v>
      </c>
      <c r="H44" t="s">
        <v>437</v>
      </c>
      <c r="J44" t="s">
        <v>427</v>
      </c>
    </row>
    <row r="45" spans="6:10" x14ac:dyDescent="0.2">
      <c r="F45" t="s">
        <v>280</v>
      </c>
      <c r="H45" t="s">
        <v>437</v>
      </c>
      <c r="J45" t="s">
        <v>411</v>
      </c>
    </row>
    <row r="46" spans="6:10" x14ac:dyDescent="0.2">
      <c r="F46" t="s">
        <v>219</v>
      </c>
      <c r="H46" t="s">
        <v>437</v>
      </c>
      <c r="J46" t="s">
        <v>419</v>
      </c>
    </row>
    <row r="47" spans="6:10" x14ac:dyDescent="0.2">
      <c r="F47" t="s">
        <v>402</v>
      </c>
      <c r="H47" t="s">
        <v>440</v>
      </c>
      <c r="J47" t="s">
        <v>435</v>
      </c>
    </row>
    <row r="48" spans="6:10" x14ac:dyDescent="0.2">
      <c r="F48" t="s">
        <v>173</v>
      </c>
      <c r="H48" t="s">
        <v>437</v>
      </c>
      <c r="J48" t="s">
        <v>413</v>
      </c>
    </row>
    <row r="49" spans="6:10" x14ac:dyDescent="0.2">
      <c r="F49" t="s">
        <v>86</v>
      </c>
      <c r="H49" t="s">
        <v>436</v>
      </c>
      <c r="J49" t="s">
        <v>428</v>
      </c>
    </row>
    <row r="50" spans="6:10" x14ac:dyDescent="0.2">
      <c r="F50" t="s">
        <v>397</v>
      </c>
      <c r="H50" t="s">
        <v>439</v>
      </c>
      <c r="J50" t="s">
        <v>446</v>
      </c>
    </row>
    <row r="51" spans="6:10" x14ac:dyDescent="0.2">
      <c r="F51" t="s">
        <v>82</v>
      </c>
      <c r="H51" t="s">
        <v>436</v>
      </c>
      <c r="J51" t="s">
        <v>429</v>
      </c>
    </row>
    <row r="52" spans="6:10" x14ac:dyDescent="0.2">
      <c r="F52" t="s">
        <v>266</v>
      </c>
      <c r="H52" t="s">
        <v>437</v>
      </c>
      <c r="J52" t="s">
        <v>403</v>
      </c>
    </row>
    <row r="53" spans="6:10" x14ac:dyDescent="0.2">
      <c r="F53" t="s">
        <v>403</v>
      </c>
      <c r="H53" t="s">
        <v>440</v>
      </c>
      <c r="J53" t="s">
        <v>434</v>
      </c>
    </row>
    <row r="54" spans="6:10" x14ac:dyDescent="0.2">
      <c r="F54" t="s">
        <v>295</v>
      </c>
      <c r="H54" t="s">
        <v>438</v>
      </c>
      <c r="J54" t="s">
        <v>445</v>
      </c>
    </row>
    <row r="55" spans="6:10" x14ac:dyDescent="0.2">
      <c r="F55" t="s">
        <v>233</v>
      </c>
      <c r="H55" t="s">
        <v>437</v>
      </c>
      <c r="J55" t="s">
        <v>422</v>
      </c>
    </row>
    <row r="56" spans="6:10" x14ac:dyDescent="0.2">
      <c r="F56" t="s">
        <v>162</v>
      </c>
      <c r="H56" t="s">
        <v>437</v>
      </c>
      <c r="J56" t="s">
        <v>412</v>
      </c>
    </row>
    <row r="57" spans="6:10" x14ac:dyDescent="0.2">
      <c r="F57" t="s">
        <v>400</v>
      </c>
      <c r="H57" t="s">
        <v>439</v>
      </c>
      <c r="J57" t="s">
        <v>446</v>
      </c>
    </row>
    <row r="58" spans="6:10" x14ac:dyDescent="0.2">
      <c r="F58" t="s">
        <v>108</v>
      </c>
      <c r="H58" t="s">
        <v>437</v>
      </c>
      <c r="J58" t="s">
        <v>404</v>
      </c>
    </row>
    <row r="59" spans="6:10" x14ac:dyDescent="0.2">
      <c r="F59" t="s">
        <v>383</v>
      </c>
      <c r="H59" t="s">
        <v>439</v>
      </c>
      <c r="J59" t="s">
        <v>446</v>
      </c>
    </row>
    <row r="60" spans="6:10" x14ac:dyDescent="0.2">
      <c r="F60" t="s">
        <v>133</v>
      </c>
      <c r="H60" t="s">
        <v>437</v>
      </c>
      <c r="J60" t="s">
        <v>408</v>
      </c>
    </row>
    <row r="61" spans="6:10" x14ac:dyDescent="0.2">
      <c r="F61" t="s">
        <v>364</v>
      </c>
      <c r="H61" t="s">
        <v>439</v>
      </c>
      <c r="J61" t="s">
        <v>434</v>
      </c>
    </row>
    <row r="62" spans="6:10" x14ac:dyDescent="0.2">
      <c r="F62" t="s">
        <v>381</v>
      </c>
      <c r="H62" t="s">
        <v>439</v>
      </c>
      <c r="J62" t="s">
        <v>446</v>
      </c>
    </row>
    <row r="63" spans="6:10" x14ac:dyDescent="0.2">
      <c r="F63" t="s">
        <v>186</v>
      </c>
      <c r="H63" t="s">
        <v>437</v>
      </c>
      <c r="J63" t="s">
        <v>414</v>
      </c>
    </row>
    <row r="64" spans="6:10" x14ac:dyDescent="0.2">
      <c r="F64" t="s">
        <v>134</v>
      </c>
      <c r="H64" t="s">
        <v>437</v>
      </c>
      <c r="J64" t="s">
        <v>408</v>
      </c>
    </row>
    <row r="65" spans="6:10" x14ac:dyDescent="0.2">
      <c r="F65" t="s">
        <v>141</v>
      </c>
      <c r="H65" t="s">
        <v>437</v>
      </c>
      <c r="J65" t="s">
        <v>409</v>
      </c>
    </row>
    <row r="66" spans="6:10" x14ac:dyDescent="0.2">
      <c r="F66" t="s">
        <v>224</v>
      </c>
      <c r="H66" t="s">
        <v>437</v>
      </c>
      <c r="J66" t="s">
        <v>420</v>
      </c>
    </row>
    <row r="67" spans="6:10" x14ac:dyDescent="0.2">
      <c r="F67" t="s">
        <v>358</v>
      </c>
      <c r="H67" t="s">
        <v>439</v>
      </c>
      <c r="J67" t="s">
        <v>428</v>
      </c>
    </row>
    <row r="68" spans="6:10" x14ac:dyDescent="0.2">
      <c r="F68" t="s">
        <v>359</v>
      </c>
      <c r="H68" t="s">
        <v>439</v>
      </c>
      <c r="J68" t="s">
        <v>428</v>
      </c>
    </row>
    <row r="69" spans="6:10" x14ac:dyDescent="0.2">
      <c r="F69" t="s">
        <v>114</v>
      </c>
      <c r="H69" t="s">
        <v>437</v>
      </c>
      <c r="J69" t="s">
        <v>405</v>
      </c>
    </row>
    <row r="70" spans="6:10" x14ac:dyDescent="0.2">
      <c r="F70" t="s">
        <v>257</v>
      </c>
      <c r="H70" t="s">
        <v>437</v>
      </c>
      <c r="J70" t="s">
        <v>426</v>
      </c>
    </row>
    <row r="71" spans="6:10" x14ac:dyDescent="0.2">
      <c r="F71" t="s">
        <v>99</v>
      </c>
      <c r="H71" t="s">
        <v>437</v>
      </c>
      <c r="J71" t="s">
        <v>402</v>
      </c>
    </row>
    <row r="72" spans="6:10" x14ac:dyDescent="0.2">
      <c r="F72" t="s">
        <v>174</v>
      </c>
      <c r="H72" t="s">
        <v>437</v>
      </c>
      <c r="J72" t="s">
        <v>413</v>
      </c>
    </row>
    <row r="73" spans="6:10" x14ac:dyDescent="0.2">
      <c r="F73" t="s">
        <v>315</v>
      </c>
      <c r="H73" t="s">
        <v>438</v>
      </c>
      <c r="J73" t="s">
        <v>445</v>
      </c>
    </row>
    <row r="74" spans="6:10" x14ac:dyDescent="0.2">
      <c r="F74" t="s">
        <v>135</v>
      </c>
      <c r="H74" t="s">
        <v>437</v>
      </c>
      <c r="J74" t="s">
        <v>408</v>
      </c>
    </row>
    <row r="75" spans="6:10" x14ac:dyDescent="0.2">
      <c r="F75" t="s">
        <v>384</v>
      </c>
      <c r="H75" t="s">
        <v>439</v>
      </c>
      <c r="J75" t="s">
        <v>446</v>
      </c>
    </row>
    <row r="76" spans="6:10" x14ac:dyDescent="0.2">
      <c r="F76" t="s">
        <v>109</v>
      </c>
      <c r="H76" t="s">
        <v>437</v>
      </c>
      <c r="J76" t="s">
        <v>404</v>
      </c>
    </row>
    <row r="77" spans="6:10" x14ac:dyDescent="0.2">
      <c r="F77" t="s">
        <v>203</v>
      </c>
      <c r="H77" t="s">
        <v>437</v>
      </c>
      <c r="J77" t="s">
        <v>417</v>
      </c>
    </row>
    <row r="78" spans="6:10" x14ac:dyDescent="0.2">
      <c r="F78" t="s">
        <v>361</v>
      </c>
      <c r="H78" t="s">
        <v>439</v>
      </c>
      <c r="J78" t="s">
        <v>433</v>
      </c>
    </row>
    <row r="79" spans="6:10" x14ac:dyDescent="0.2">
      <c r="F79" t="s">
        <v>142</v>
      </c>
      <c r="H79" t="s">
        <v>437</v>
      </c>
      <c r="J79" t="s">
        <v>409</v>
      </c>
    </row>
    <row r="80" spans="6:10" x14ac:dyDescent="0.2">
      <c r="F80" t="s">
        <v>356</v>
      </c>
      <c r="H80" t="s">
        <v>439</v>
      </c>
      <c r="J80" t="s">
        <v>430</v>
      </c>
    </row>
    <row r="81" spans="6:10" x14ac:dyDescent="0.2">
      <c r="F81" t="s">
        <v>79</v>
      </c>
      <c r="H81" t="s">
        <v>436</v>
      </c>
      <c r="J81" t="s">
        <v>431</v>
      </c>
    </row>
    <row r="82" spans="6:10" x14ac:dyDescent="0.2">
      <c r="F82" t="s">
        <v>210</v>
      </c>
      <c r="H82" t="s">
        <v>437</v>
      </c>
      <c r="J82" t="s">
        <v>418</v>
      </c>
    </row>
    <row r="83" spans="6:10" x14ac:dyDescent="0.2">
      <c r="F83" t="s">
        <v>289</v>
      </c>
      <c r="H83" t="s">
        <v>437</v>
      </c>
      <c r="J83" t="s">
        <v>426</v>
      </c>
    </row>
    <row r="84" spans="6:10" x14ac:dyDescent="0.2">
      <c r="F84" t="s">
        <v>322</v>
      </c>
      <c r="H84" t="s">
        <v>438</v>
      </c>
      <c r="J84" t="s">
        <v>445</v>
      </c>
    </row>
    <row r="85" spans="6:10" x14ac:dyDescent="0.2">
      <c r="F85" t="s">
        <v>404</v>
      </c>
      <c r="H85" t="s">
        <v>440</v>
      </c>
      <c r="J85" t="s">
        <v>428</v>
      </c>
    </row>
    <row r="86" spans="6:10" x14ac:dyDescent="0.2">
      <c r="F86" t="s">
        <v>154</v>
      </c>
      <c r="H86" t="s">
        <v>437</v>
      </c>
      <c r="J86" t="s">
        <v>411</v>
      </c>
    </row>
    <row r="87" spans="6:10" x14ac:dyDescent="0.2">
      <c r="F87" t="s">
        <v>327</v>
      </c>
      <c r="H87" t="s">
        <v>439</v>
      </c>
      <c r="J87" t="s">
        <v>430</v>
      </c>
    </row>
    <row r="88" spans="6:10" x14ac:dyDescent="0.2">
      <c r="F88" t="s">
        <v>163</v>
      </c>
      <c r="H88" t="s">
        <v>437</v>
      </c>
      <c r="J88" t="s">
        <v>412</v>
      </c>
    </row>
    <row r="89" spans="6:10" x14ac:dyDescent="0.2">
      <c r="F89" t="s">
        <v>204</v>
      </c>
      <c r="H89" t="s">
        <v>437</v>
      </c>
      <c r="J89" t="s">
        <v>417</v>
      </c>
    </row>
    <row r="90" spans="6:10" x14ac:dyDescent="0.2">
      <c r="F90" t="s">
        <v>390</v>
      </c>
      <c r="H90" t="s">
        <v>439</v>
      </c>
      <c r="J90" t="s">
        <v>446</v>
      </c>
    </row>
    <row r="91" spans="6:10" x14ac:dyDescent="0.2">
      <c r="F91" t="s">
        <v>367</v>
      </c>
      <c r="H91" t="s">
        <v>439</v>
      </c>
      <c r="J91" t="s">
        <v>432</v>
      </c>
    </row>
    <row r="92" spans="6:10" x14ac:dyDescent="0.2">
      <c r="F92" t="s">
        <v>405</v>
      </c>
      <c r="H92" t="s">
        <v>440</v>
      </c>
      <c r="J92" t="s">
        <v>432</v>
      </c>
    </row>
    <row r="93" spans="6:10" x14ac:dyDescent="0.2">
      <c r="F93" t="s">
        <v>115</v>
      </c>
      <c r="H93" t="s">
        <v>437</v>
      </c>
      <c r="J93" t="s">
        <v>405</v>
      </c>
    </row>
    <row r="94" spans="6:10" x14ac:dyDescent="0.2">
      <c r="F94" t="s">
        <v>406</v>
      </c>
      <c r="H94" t="s">
        <v>440</v>
      </c>
      <c r="J94" t="s">
        <v>433</v>
      </c>
    </row>
    <row r="95" spans="6:10" x14ac:dyDescent="0.2">
      <c r="F95" t="s">
        <v>72</v>
      </c>
      <c r="H95" t="s">
        <v>436</v>
      </c>
      <c r="J95" t="s">
        <v>429</v>
      </c>
    </row>
    <row r="96" spans="6:10" x14ac:dyDescent="0.2">
      <c r="F96" t="s">
        <v>355</v>
      </c>
      <c r="H96" t="s">
        <v>439</v>
      </c>
      <c r="J96" t="s">
        <v>433</v>
      </c>
    </row>
    <row r="97" spans="6:10" x14ac:dyDescent="0.2">
      <c r="F97" t="s">
        <v>164</v>
      </c>
      <c r="H97" t="s">
        <v>437</v>
      </c>
      <c r="J97" t="s">
        <v>412</v>
      </c>
    </row>
    <row r="98" spans="6:10" x14ac:dyDescent="0.2">
      <c r="F98" t="s">
        <v>94</v>
      </c>
      <c r="H98" t="s">
        <v>436</v>
      </c>
      <c r="J98" t="s">
        <v>431</v>
      </c>
    </row>
    <row r="99" spans="6:10" x14ac:dyDescent="0.2">
      <c r="F99" t="s">
        <v>296</v>
      </c>
      <c r="H99" t="s">
        <v>438</v>
      </c>
      <c r="J99" t="s">
        <v>445</v>
      </c>
    </row>
    <row r="100" spans="6:10" x14ac:dyDescent="0.2">
      <c r="F100" t="s">
        <v>102</v>
      </c>
      <c r="H100" t="s">
        <v>437</v>
      </c>
      <c r="J100" t="s">
        <v>403</v>
      </c>
    </row>
    <row r="101" spans="6:10" x14ac:dyDescent="0.2">
      <c r="F101" t="s">
        <v>120</v>
      </c>
      <c r="H101" t="s">
        <v>437</v>
      </c>
      <c r="J101" t="s">
        <v>406</v>
      </c>
    </row>
    <row r="102" spans="6:10" x14ac:dyDescent="0.2">
      <c r="F102" t="s">
        <v>148</v>
      </c>
      <c r="H102" t="s">
        <v>437</v>
      </c>
      <c r="J102" t="s">
        <v>410</v>
      </c>
    </row>
    <row r="103" spans="6:10" x14ac:dyDescent="0.2">
      <c r="F103" t="s">
        <v>155</v>
      </c>
      <c r="H103" t="s">
        <v>437</v>
      </c>
      <c r="J103" t="s">
        <v>411</v>
      </c>
    </row>
    <row r="104" spans="6:10" x14ac:dyDescent="0.2">
      <c r="F104" t="s">
        <v>192</v>
      </c>
      <c r="H104" t="s">
        <v>437</v>
      </c>
      <c r="J104" t="s">
        <v>415</v>
      </c>
    </row>
    <row r="105" spans="6:10" x14ac:dyDescent="0.2">
      <c r="F105" t="s">
        <v>432</v>
      </c>
      <c r="H105" t="s">
        <v>441</v>
      </c>
      <c r="J105" t="s">
        <v>447</v>
      </c>
    </row>
    <row r="106" spans="6:10" x14ac:dyDescent="0.2">
      <c r="F106" t="s">
        <v>205</v>
      </c>
      <c r="H106" t="s">
        <v>437</v>
      </c>
      <c r="J106" t="s">
        <v>417</v>
      </c>
    </row>
    <row r="107" spans="6:10" x14ac:dyDescent="0.2">
      <c r="F107" t="s">
        <v>434</v>
      </c>
      <c r="H107" t="s">
        <v>441</v>
      </c>
      <c r="J107" t="s">
        <v>447</v>
      </c>
    </row>
    <row r="108" spans="6:10" x14ac:dyDescent="0.2">
      <c r="F108" t="s">
        <v>331</v>
      </c>
      <c r="H108" t="s">
        <v>439</v>
      </c>
      <c r="J108" t="s">
        <v>429</v>
      </c>
    </row>
    <row r="109" spans="6:10" x14ac:dyDescent="0.2">
      <c r="F109" t="s">
        <v>234</v>
      </c>
      <c r="H109" t="s">
        <v>437</v>
      </c>
      <c r="J109" t="s">
        <v>422</v>
      </c>
    </row>
    <row r="110" spans="6:10" x14ac:dyDescent="0.2">
      <c r="F110" t="s">
        <v>243</v>
      </c>
      <c r="H110" t="s">
        <v>437</v>
      </c>
      <c r="J110" t="s">
        <v>423</v>
      </c>
    </row>
    <row r="111" spans="6:10" x14ac:dyDescent="0.2">
      <c r="F111" t="s">
        <v>407</v>
      </c>
      <c r="H111" t="s">
        <v>440</v>
      </c>
      <c r="J111" t="s">
        <v>435</v>
      </c>
    </row>
    <row r="112" spans="6:10" x14ac:dyDescent="0.2">
      <c r="F112" t="s">
        <v>286</v>
      </c>
      <c r="H112" t="s">
        <v>437</v>
      </c>
      <c r="J112" t="s">
        <v>407</v>
      </c>
    </row>
    <row r="113" spans="6:10" x14ac:dyDescent="0.2">
      <c r="F113" t="s">
        <v>149</v>
      </c>
      <c r="H113" t="s">
        <v>437</v>
      </c>
      <c r="J113" t="s">
        <v>410</v>
      </c>
    </row>
    <row r="114" spans="6:10" x14ac:dyDescent="0.2">
      <c r="F114" t="s">
        <v>110</v>
      </c>
      <c r="H114" t="s">
        <v>437</v>
      </c>
      <c r="J114" t="s">
        <v>404</v>
      </c>
    </row>
    <row r="115" spans="6:10" x14ac:dyDescent="0.2">
      <c r="F115" t="s">
        <v>244</v>
      </c>
      <c r="H115" t="s">
        <v>437</v>
      </c>
      <c r="J115" t="s">
        <v>424</v>
      </c>
    </row>
    <row r="116" spans="6:10" x14ac:dyDescent="0.2">
      <c r="F116" t="s">
        <v>297</v>
      </c>
      <c r="H116" t="s">
        <v>438</v>
      </c>
      <c r="J116" t="s">
        <v>445</v>
      </c>
    </row>
    <row r="117" spans="6:10" x14ac:dyDescent="0.2">
      <c r="F117" t="s">
        <v>136</v>
      </c>
      <c r="H117" t="s">
        <v>437</v>
      </c>
      <c r="J117" t="s">
        <v>408</v>
      </c>
    </row>
    <row r="118" spans="6:10" x14ac:dyDescent="0.2">
      <c r="F118" t="s">
        <v>275</v>
      </c>
      <c r="H118" t="s">
        <v>437</v>
      </c>
      <c r="J118" t="s">
        <v>424</v>
      </c>
    </row>
    <row r="119" spans="6:10" x14ac:dyDescent="0.2">
      <c r="F119" t="s">
        <v>116</v>
      </c>
      <c r="H119" t="s">
        <v>437</v>
      </c>
      <c r="J119" t="s">
        <v>405</v>
      </c>
    </row>
    <row r="120" spans="6:10" x14ac:dyDescent="0.2">
      <c r="F120" t="s">
        <v>408</v>
      </c>
      <c r="H120" t="s">
        <v>440</v>
      </c>
      <c r="J120" t="s">
        <v>434</v>
      </c>
    </row>
    <row r="121" spans="6:10" x14ac:dyDescent="0.2">
      <c r="F121" t="s">
        <v>283</v>
      </c>
      <c r="H121" t="s">
        <v>437</v>
      </c>
      <c r="J121" t="s">
        <v>406</v>
      </c>
    </row>
    <row r="122" spans="6:10" x14ac:dyDescent="0.2">
      <c r="F122" t="s">
        <v>268</v>
      </c>
      <c r="H122" t="s">
        <v>437</v>
      </c>
      <c r="J122" t="s">
        <v>410</v>
      </c>
    </row>
    <row r="123" spans="6:10" x14ac:dyDescent="0.2">
      <c r="F123" t="s">
        <v>103</v>
      </c>
      <c r="H123" t="s">
        <v>437</v>
      </c>
      <c r="J123" t="s">
        <v>403</v>
      </c>
    </row>
    <row r="124" spans="6:10" x14ac:dyDescent="0.2">
      <c r="F124" t="s">
        <v>395</v>
      </c>
      <c r="H124" t="s">
        <v>439</v>
      </c>
      <c r="J124" t="s">
        <v>446</v>
      </c>
    </row>
    <row r="125" spans="6:10" x14ac:dyDescent="0.2">
      <c r="F125" t="s">
        <v>168</v>
      </c>
      <c r="H125" t="s">
        <v>437</v>
      </c>
      <c r="J125" t="s">
        <v>412</v>
      </c>
    </row>
    <row r="126" spans="6:10" x14ac:dyDescent="0.2">
      <c r="F126" t="s">
        <v>143</v>
      </c>
      <c r="H126" t="s">
        <v>437</v>
      </c>
      <c r="J126" t="s">
        <v>409</v>
      </c>
    </row>
    <row r="127" spans="6:10" x14ac:dyDescent="0.2">
      <c r="F127" t="s">
        <v>175</v>
      </c>
      <c r="H127" t="s">
        <v>437</v>
      </c>
      <c r="J127" t="s">
        <v>413</v>
      </c>
    </row>
    <row r="128" spans="6:10" x14ac:dyDescent="0.2">
      <c r="F128" t="s">
        <v>75</v>
      </c>
      <c r="H128" t="s">
        <v>436</v>
      </c>
      <c r="J128" t="s">
        <v>430</v>
      </c>
    </row>
    <row r="129" spans="6:10" x14ac:dyDescent="0.2">
      <c r="F129" t="s">
        <v>220</v>
      </c>
      <c r="H129" t="s">
        <v>437</v>
      </c>
      <c r="J129" t="s">
        <v>419</v>
      </c>
    </row>
    <row r="130" spans="6:10" x14ac:dyDescent="0.2">
      <c r="F130" t="s">
        <v>144</v>
      </c>
      <c r="H130" t="s">
        <v>437</v>
      </c>
      <c r="J130" t="s">
        <v>409</v>
      </c>
    </row>
    <row r="131" spans="6:10" x14ac:dyDescent="0.2">
      <c r="F131" t="s">
        <v>409</v>
      </c>
      <c r="H131" t="s">
        <v>440</v>
      </c>
      <c r="J131" t="s">
        <v>433</v>
      </c>
    </row>
    <row r="132" spans="6:10" x14ac:dyDescent="0.2">
      <c r="F132" t="s">
        <v>269</v>
      </c>
      <c r="H132" t="s">
        <v>437</v>
      </c>
      <c r="J132" t="s">
        <v>410</v>
      </c>
    </row>
    <row r="133" spans="6:10" x14ac:dyDescent="0.2">
      <c r="F133" t="s">
        <v>165</v>
      </c>
      <c r="H133" t="s">
        <v>437</v>
      </c>
      <c r="J133" t="s">
        <v>412</v>
      </c>
    </row>
    <row r="134" spans="6:10" x14ac:dyDescent="0.2">
      <c r="F134" t="s">
        <v>199</v>
      </c>
      <c r="H134" t="s">
        <v>437</v>
      </c>
      <c r="J134" t="s">
        <v>416</v>
      </c>
    </row>
    <row r="135" spans="6:10" x14ac:dyDescent="0.2">
      <c r="F135" t="s">
        <v>298</v>
      </c>
      <c r="H135" t="s">
        <v>438</v>
      </c>
      <c r="J135" t="s">
        <v>445</v>
      </c>
    </row>
    <row r="136" spans="6:10" x14ac:dyDescent="0.2">
      <c r="F136" t="s">
        <v>245</v>
      </c>
      <c r="H136" t="s">
        <v>437</v>
      </c>
      <c r="J136" t="s">
        <v>424</v>
      </c>
    </row>
    <row r="137" spans="6:10" x14ac:dyDescent="0.2">
      <c r="F137" t="s">
        <v>382</v>
      </c>
      <c r="H137" t="s">
        <v>439</v>
      </c>
      <c r="J137" t="s">
        <v>446</v>
      </c>
    </row>
    <row r="138" spans="6:10" x14ac:dyDescent="0.2">
      <c r="F138" t="s">
        <v>317</v>
      </c>
      <c r="H138" t="s">
        <v>438</v>
      </c>
      <c r="J138" t="s">
        <v>445</v>
      </c>
    </row>
    <row r="139" spans="6:10" x14ac:dyDescent="0.2">
      <c r="F139" t="s">
        <v>328</v>
      </c>
      <c r="H139" t="s">
        <v>439</v>
      </c>
      <c r="J139" t="s">
        <v>428</v>
      </c>
    </row>
    <row r="140" spans="6:10" x14ac:dyDescent="0.2">
      <c r="F140" t="s">
        <v>211</v>
      </c>
      <c r="H140" t="s">
        <v>437</v>
      </c>
      <c r="J140" t="s">
        <v>418</v>
      </c>
    </row>
    <row r="141" spans="6:10" x14ac:dyDescent="0.2">
      <c r="F141" t="s">
        <v>299</v>
      </c>
      <c r="H141" t="s">
        <v>438</v>
      </c>
      <c r="J141" t="s">
        <v>445</v>
      </c>
    </row>
    <row r="142" spans="6:10" x14ac:dyDescent="0.2">
      <c r="F142" t="s">
        <v>410</v>
      </c>
      <c r="H142" t="s">
        <v>440</v>
      </c>
      <c r="J142" t="s">
        <v>435</v>
      </c>
    </row>
    <row r="143" spans="6:10" x14ac:dyDescent="0.2">
      <c r="F143" t="s">
        <v>187</v>
      </c>
      <c r="H143" t="s">
        <v>437</v>
      </c>
      <c r="J143" t="s">
        <v>414</v>
      </c>
    </row>
    <row r="144" spans="6:10" x14ac:dyDescent="0.2">
      <c r="F144" t="s">
        <v>300</v>
      </c>
      <c r="H144" t="s">
        <v>438</v>
      </c>
      <c r="J144" t="s">
        <v>445</v>
      </c>
    </row>
    <row r="145" spans="6:10" x14ac:dyDescent="0.2">
      <c r="F145" t="s">
        <v>267</v>
      </c>
      <c r="H145" t="s">
        <v>437</v>
      </c>
      <c r="J145" t="s">
        <v>408</v>
      </c>
    </row>
    <row r="146" spans="6:10" x14ac:dyDescent="0.2">
      <c r="F146" t="s">
        <v>212</v>
      </c>
      <c r="H146" t="s">
        <v>437</v>
      </c>
      <c r="J146" t="s">
        <v>418</v>
      </c>
    </row>
    <row r="147" spans="6:10" x14ac:dyDescent="0.2">
      <c r="F147" t="s">
        <v>301</v>
      </c>
      <c r="H147" t="s">
        <v>438</v>
      </c>
      <c r="J147" t="s">
        <v>445</v>
      </c>
    </row>
    <row r="148" spans="6:10" x14ac:dyDescent="0.2">
      <c r="F148" t="s">
        <v>150</v>
      </c>
      <c r="H148" t="s">
        <v>437</v>
      </c>
      <c r="J148" t="s">
        <v>410</v>
      </c>
    </row>
    <row r="149" spans="6:10" x14ac:dyDescent="0.2">
      <c r="F149" t="s">
        <v>323</v>
      </c>
      <c r="H149" t="s">
        <v>439</v>
      </c>
      <c r="J149" t="s">
        <v>430</v>
      </c>
    </row>
    <row r="150" spans="6:10" x14ac:dyDescent="0.2">
      <c r="F150" t="s">
        <v>285</v>
      </c>
      <c r="H150" t="s">
        <v>437</v>
      </c>
      <c r="J150" t="s">
        <v>407</v>
      </c>
    </row>
    <row r="151" spans="6:10" x14ac:dyDescent="0.2">
      <c r="F151" t="s">
        <v>270</v>
      </c>
      <c r="H151" t="s">
        <v>437</v>
      </c>
      <c r="J151" t="s">
        <v>410</v>
      </c>
    </row>
    <row r="152" spans="6:10" x14ac:dyDescent="0.2">
      <c r="F152" t="s">
        <v>302</v>
      </c>
      <c r="H152" t="s">
        <v>438</v>
      </c>
      <c r="J152" t="s">
        <v>445</v>
      </c>
    </row>
    <row r="153" spans="6:10" x14ac:dyDescent="0.2">
      <c r="F153" t="s">
        <v>336</v>
      </c>
      <c r="H153" t="s">
        <v>439</v>
      </c>
      <c r="J153" t="s">
        <v>431</v>
      </c>
    </row>
    <row r="154" spans="6:10" x14ac:dyDescent="0.2">
      <c r="F154" t="s">
        <v>411</v>
      </c>
      <c r="H154" t="s">
        <v>440</v>
      </c>
      <c r="J154" t="s">
        <v>434</v>
      </c>
    </row>
    <row r="155" spans="6:10" x14ac:dyDescent="0.2">
      <c r="F155" t="s">
        <v>156</v>
      </c>
      <c r="H155" t="s">
        <v>437</v>
      </c>
      <c r="J155" t="s">
        <v>411</v>
      </c>
    </row>
    <row r="156" spans="6:10" x14ac:dyDescent="0.2">
      <c r="F156" t="s">
        <v>117</v>
      </c>
      <c r="H156" t="s">
        <v>437</v>
      </c>
      <c r="J156" t="s">
        <v>405</v>
      </c>
    </row>
    <row r="157" spans="6:10" x14ac:dyDescent="0.2">
      <c r="F157" t="s">
        <v>303</v>
      </c>
      <c r="H157" t="s">
        <v>438</v>
      </c>
      <c r="J157" t="s">
        <v>445</v>
      </c>
    </row>
    <row r="158" spans="6:10" x14ac:dyDescent="0.2">
      <c r="F158" t="s">
        <v>188</v>
      </c>
      <c r="H158" t="s">
        <v>437</v>
      </c>
      <c r="J158" t="s">
        <v>414</v>
      </c>
    </row>
    <row r="159" spans="6:10" x14ac:dyDescent="0.2">
      <c r="F159" t="s">
        <v>258</v>
      </c>
      <c r="H159" t="s">
        <v>437</v>
      </c>
      <c r="J159" t="s">
        <v>426</v>
      </c>
    </row>
    <row r="160" spans="6:10" x14ac:dyDescent="0.2">
      <c r="F160" t="s">
        <v>304</v>
      </c>
      <c r="H160" t="s">
        <v>438</v>
      </c>
      <c r="J160" t="s">
        <v>445</v>
      </c>
    </row>
    <row r="161" spans="6:10" x14ac:dyDescent="0.2">
      <c r="F161" t="s">
        <v>104</v>
      </c>
      <c r="H161" t="s">
        <v>437</v>
      </c>
      <c r="J161" t="s">
        <v>403</v>
      </c>
    </row>
    <row r="162" spans="6:10" x14ac:dyDescent="0.2">
      <c r="F162" t="s">
        <v>176</v>
      </c>
      <c r="H162" t="s">
        <v>437</v>
      </c>
      <c r="J162" t="s">
        <v>413</v>
      </c>
    </row>
    <row r="163" spans="6:10" x14ac:dyDescent="0.2">
      <c r="F163" t="s">
        <v>274</v>
      </c>
      <c r="H163" t="s">
        <v>437</v>
      </c>
      <c r="J163" t="s">
        <v>423</v>
      </c>
    </row>
    <row r="164" spans="6:10" x14ac:dyDescent="0.2">
      <c r="F164" t="s">
        <v>385</v>
      </c>
      <c r="H164" t="s">
        <v>439</v>
      </c>
      <c r="J164" t="s">
        <v>446</v>
      </c>
    </row>
    <row r="165" spans="6:10" x14ac:dyDescent="0.2">
      <c r="F165" t="s">
        <v>353</v>
      </c>
      <c r="H165" t="s">
        <v>439</v>
      </c>
      <c r="J165" t="s">
        <v>435</v>
      </c>
    </row>
    <row r="166" spans="6:10" x14ac:dyDescent="0.2">
      <c r="F166" t="s">
        <v>365</v>
      </c>
      <c r="H166" t="s">
        <v>439</v>
      </c>
      <c r="J166" t="s">
        <v>433</v>
      </c>
    </row>
    <row r="167" spans="6:10" x14ac:dyDescent="0.2">
      <c r="F167" t="s">
        <v>305</v>
      </c>
      <c r="H167" t="s">
        <v>438</v>
      </c>
      <c r="J167" t="s">
        <v>445</v>
      </c>
    </row>
    <row r="168" spans="6:10" x14ac:dyDescent="0.2">
      <c r="F168" t="s">
        <v>318</v>
      </c>
      <c r="H168" t="s">
        <v>438</v>
      </c>
      <c r="J168" t="s">
        <v>445</v>
      </c>
    </row>
    <row r="169" spans="6:10" x14ac:dyDescent="0.2">
      <c r="F169" t="s">
        <v>412</v>
      </c>
      <c r="H169" t="s">
        <v>440</v>
      </c>
      <c r="J169" t="s">
        <v>435</v>
      </c>
    </row>
    <row r="170" spans="6:10" x14ac:dyDescent="0.2">
      <c r="F170" t="s">
        <v>206</v>
      </c>
      <c r="H170" t="s">
        <v>437</v>
      </c>
      <c r="J170" t="s">
        <v>417</v>
      </c>
    </row>
    <row r="171" spans="6:10" x14ac:dyDescent="0.2">
      <c r="F171" t="s">
        <v>200</v>
      </c>
      <c r="H171" t="s">
        <v>437</v>
      </c>
      <c r="J171" t="s">
        <v>416</v>
      </c>
    </row>
    <row r="172" spans="6:10" x14ac:dyDescent="0.2">
      <c r="F172" t="s">
        <v>377</v>
      </c>
      <c r="H172" t="s">
        <v>439</v>
      </c>
      <c r="J172" t="s">
        <v>429</v>
      </c>
    </row>
    <row r="173" spans="6:10" x14ac:dyDescent="0.2">
      <c r="F173" t="s">
        <v>306</v>
      </c>
      <c r="H173" t="s">
        <v>438</v>
      </c>
      <c r="J173" t="s">
        <v>445</v>
      </c>
    </row>
    <row r="174" spans="6:10" x14ac:dyDescent="0.2">
      <c r="F174" t="s">
        <v>83</v>
      </c>
      <c r="H174" t="s">
        <v>436</v>
      </c>
      <c r="J174" t="s">
        <v>429</v>
      </c>
    </row>
    <row r="175" spans="6:10" x14ac:dyDescent="0.2">
      <c r="F175" t="s">
        <v>68</v>
      </c>
      <c r="H175" t="s">
        <v>436</v>
      </c>
      <c r="J175" t="s">
        <v>428</v>
      </c>
    </row>
    <row r="176" spans="6:10" x14ac:dyDescent="0.2">
      <c r="F176" t="s">
        <v>307</v>
      </c>
      <c r="H176" t="s">
        <v>438</v>
      </c>
      <c r="J176" t="s">
        <v>445</v>
      </c>
    </row>
    <row r="177" spans="6:10" x14ac:dyDescent="0.2">
      <c r="F177" t="s">
        <v>413</v>
      </c>
      <c r="H177" t="s">
        <v>440</v>
      </c>
      <c r="J177" t="s">
        <v>428</v>
      </c>
    </row>
    <row r="178" spans="6:10" x14ac:dyDescent="0.2">
      <c r="F178" t="s">
        <v>177</v>
      </c>
      <c r="H178" t="s">
        <v>437</v>
      </c>
      <c r="J178" t="s">
        <v>413</v>
      </c>
    </row>
    <row r="179" spans="6:10" x14ac:dyDescent="0.2">
      <c r="F179" t="s">
        <v>84</v>
      </c>
      <c r="H179" t="s">
        <v>436</v>
      </c>
      <c r="J179" t="s">
        <v>429</v>
      </c>
    </row>
    <row r="180" spans="6:10" x14ac:dyDescent="0.2">
      <c r="F180" t="s">
        <v>375</v>
      </c>
      <c r="H180" t="s">
        <v>439</v>
      </c>
      <c r="J180" t="s">
        <v>432</v>
      </c>
    </row>
    <row r="181" spans="6:10" x14ac:dyDescent="0.2">
      <c r="F181" t="s">
        <v>414</v>
      </c>
      <c r="H181" t="s">
        <v>440</v>
      </c>
      <c r="J181" t="s">
        <v>432</v>
      </c>
    </row>
    <row r="182" spans="6:10" x14ac:dyDescent="0.2">
      <c r="F182" t="s">
        <v>127</v>
      </c>
      <c r="H182" t="s">
        <v>437</v>
      </c>
      <c r="J182" t="s">
        <v>407</v>
      </c>
    </row>
    <row r="183" spans="6:10" x14ac:dyDescent="0.2">
      <c r="F183" t="s">
        <v>308</v>
      </c>
      <c r="H183" t="s">
        <v>438</v>
      </c>
      <c r="J183" t="s">
        <v>445</v>
      </c>
    </row>
    <row r="184" spans="6:10" x14ac:dyDescent="0.2">
      <c r="F184" t="s">
        <v>235</v>
      </c>
      <c r="H184" t="s">
        <v>437</v>
      </c>
      <c r="J184" t="s">
        <v>422</v>
      </c>
    </row>
    <row r="185" spans="6:10" x14ac:dyDescent="0.2">
      <c r="F185" t="s">
        <v>281</v>
      </c>
      <c r="H185" t="s">
        <v>437</v>
      </c>
      <c r="J185" t="s">
        <v>415</v>
      </c>
    </row>
    <row r="186" spans="6:10" x14ac:dyDescent="0.2">
      <c r="F186" t="s">
        <v>415</v>
      </c>
      <c r="H186" t="s">
        <v>440</v>
      </c>
      <c r="J186" t="s">
        <v>432</v>
      </c>
    </row>
    <row r="187" spans="6:10" x14ac:dyDescent="0.2">
      <c r="F187" t="s">
        <v>90</v>
      </c>
      <c r="H187" t="s">
        <v>436</v>
      </c>
      <c r="J187" t="s">
        <v>428</v>
      </c>
    </row>
    <row r="188" spans="6:10" x14ac:dyDescent="0.2">
      <c r="F188" t="s">
        <v>369</v>
      </c>
      <c r="H188" t="s">
        <v>439</v>
      </c>
      <c r="J188" t="s">
        <v>434</v>
      </c>
    </row>
    <row r="189" spans="6:10" x14ac:dyDescent="0.2">
      <c r="F189" t="s">
        <v>166</v>
      </c>
      <c r="H189" t="s">
        <v>437</v>
      </c>
      <c r="J189" t="s">
        <v>412</v>
      </c>
    </row>
    <row r="190" spans="6:10" x14ac:dyDescent="0.2">
      <c r="F190" t="s">
        <v>137</v>
      </c>
      <c r="H190" t="s">
        <v>437</v>
      </c>
      <c r="J190" t="s">
        <v>408</v>
      </c>
    </row>
    <row r="191" spans="6:10" x14ac:dyDescent="0.2">
      <c r="F191" t="s">
        <v>261</v>
      </c>
      <c r="H191" t="s">
        <v>437</v>
      </c>
      <c r="J191" t="s">
        <v>427</v>
      </c>
    </row>
    <row r="192" spans="6:10" x14ac:dyDescent="0.2">
      <c r="F192" t="s">
        <v>63</v>
      </c>
      <c r="H192" t="s">
        <v>436</v>
      </c>
      <c r="J192" t="s">
        <v>428</v>
      </c>
    </row>
    <row r="193" spans="6:10" x14ac:dyDescent="0.2">
      <c r="F193" t="s">
        <v>221</v>
      </c>
      <c r="H193" t="s">
        <v>437</v>
      </c>
      <c r="J193" t="s">
        <v>419</v>
      </c>
    </row>
    <row r="194" spans="6:10" x14ac:dyDescent="0.2">
      <c r="F194" t="s">
        <v>345</v>
      </c>
      <c r="H194" t="s">
        <v>439</v>
      </c>
      <c r="J194" t="s">
        <v>435</v>
      </c>
    </row>
    <row r="195" spans="6:10" x14ac:dyDescent="0.2">
      <c r="F195" t="s">
        <v>189</v>
      </c>
      <c r="H195" t="s">
        <v>437</v>
      </c>
      <c r="J195" t="s">
        <v>414</v>
      </c>
    </row>
    <row r="196" spans="6:10" x14ac:dyDescent="0.2">
      <c r="F196" t="s">
        <v>229</v>
      </c>
      <c r="H196" t="s">
        <v>437</v>
      </c>
      <c r="J196" t="s">
        <v>421</v>
      </c>
    </row>
    <row r="197" spans="6:10" x14ac:dyDescent="0.2">
      <c r="F197" t="s">
        <v>396</v>
      </c>
      <c r="H197" t="s">
        <v>439</v>
      </c>
      <c r="J197" t="s">
        <v>446</v>
      </c>
    </row>
    <row r="198" spans="6:10" x14ac:dyDescent="0.2">
      <c r="F198" t="s">
        <v>309</v>
      </c>
      <c r="H198" t="s">
        <v>438</v>
      </c>
      <c r="J198" t="s">
        <v>445</v>
      </c>
    </row>
    <row r="199" spans="6:10" x14ac:dyDescent="0.2">
      <c r="F199" t="s">
        <v>121</v>
      </c>
      <c r="H199" t="s">
        <v>437</v>
      </c>
      <c r="J199" t="s">
        <v>406</v>
      </c>
    </row>
    <row r="200" spans="6:10" x14ac:dyDescent="0.2">
      <c r="F200" t="s">
        <v>242</v>
      </c>
      <c r="H200" t="s">
        <v>437</v>
      </c>
      <c r="J200" t="s">
        <v>423</v>
      </c>
    </row>
    <row r="201" spans="6:10" x14ac:dyDescent="0.2">
      <c r="F201" t="s">
        <v>259</v>
      </c>
      <c r="H201" t="s">
        <v>437</v>
      </c>
      <c r="J201" t="s">
        <v>426</v>
      </c>
    </row>
    <row r="202" spans="6:10" x14ac:dyDescent="0.2">
      <c r="F202" t="s">
        <v>324</v>
      </c>
      <c r="H202" t="s">
        <v>439</v>
      </c>
      <c r="J202" t="s">
        <v>430</v>
      </c>
    </row>
    <row r="203" spans="6:10" x14ac:dyDescent="0.2">
      <c r="F203" t="s">
        <v>351</v>
      </c>
      <c r="H203" t="s">
        <v>439</v>
      </c>
      <c r="J203" t="s">
        <v>435</v>
      </c>
    </row>
    <row r="204" spans="6:10" x14ac:dyDescent="0.2">
      <c r="F204" t="s">
        <v>246</v>
      </c>
      <c r="H204" t="s">
        <v>437</v>
      </c>
      <c r="J204" t="s">
        <v>424</v>
      </c>
    </row>
    <row r="205" spans="6:10" x14ac:dyDescent="0.2">
      <c r="F205" t="s">
        <v>387</v>
      </c>
      <c r="H205" t="s">
        <v>439</v>
      </c>
      <c r="J205" t="s">
        <v>446</v>
      </c>
    </row>
    <row r="206" spans="6:10" x14ac:dyDescent="0.2">
      <c r="F206" t="s">
        <v>392</v>
      </c>
      <c r="H206" t="s">
        <v>439</v>
      </c>
      <c r="J206" t="s">
        <v>446</v>
      </c>
    </row>
    <row r="207" spans="6:10" x14ac:dyDescent="0.2">
      <c r="F207" t="s">
        <v>151</v>
      </c>
      <c r="H207" t="s">
        <v>437</v>
      </c>
      <c r="J207" t="s">
        <v>410</v>
      </c>
    </row>
    <row r="208" spans="6:10" x14ac:dyDescent="0.2">
      <c r="F208" t="s">
        <v>222</v>
      </c>
      <c r="H208" t="s">
        <v>437</v>
      </c>
      <c r="J208" t="s">
        <v>419</v>
      </c>
    </row>
    <row r="209" spans="6:10" x14ac:dyDescent="0.2">
      <c r="F209" t="s">
        <v>76</v>
      </c>
      <c r="H209" t="s">
        <v>436</v>
      </c>
      <c r="J209" t="s">
        <v>430</v>
      </c>
    </row>
    <row r="210" spans="6:10" x14ac:dyDescent="0.2">
      <c r="F210" t="s">
        <v>236</v>
      </c>
      <c r="H210" t="s">
        <v>437</v>
      </c>
      <c r="J210" t="s">
        <v>422</v>
      </c>
    </row>
    <row r="211" spans="6:10" x14ac:dyDescent="0.2">
      <c r="F211" t="s">
        <v>310</v>
      </c>
      <c r="H211" t="s">
        <v>438</v>
      </c>
      <c r="J211" t="s">
        <v>445</v>
      </c>
    </row>
    <row r="212" spans="6:10" x14ac:dyDescent="0.2">
      <c r="F212" t="s">
        <v>394</v>
      </c>
      <c r="H212" t="s">
        <v>439</v>
      </c>
      <c r="J212" t="s">
        <v>446</v>
      </c>
    </row>
    <row r="213" spans="6:10" x14ac:dyDescent="0.2">
      <c r="F213" t="s">
        <v>416</v>
      </c>
      <c r="H213" t="s">
        <v>440</v>
      </c>
      <c r="J213" t="s">
        <v>434</v>
      </c>
    </row>
    <row r="214" spans="6:10" x14ac:dyDescent="0.2">
      <c r="F214" t="s">
        <v>122</v>
      </c>
      <c r="H214" t="s">
        <v>437</v>
      </c>
      <c r="J214" t="s">
        <v>406</v>
      </c>
    </row>
    <row r="215" spans="6:10" x14ac:dyDescent="0.2">
      <c r="F215" t="s">
        <v>430</v>
      </c>
      <c r="H215" t="s">
        <v>441</v>
      </c>
      <c r="J215" t="s">
        <v>447</v>
      </c>
    </row>
    <row r="216" spans="6:10" x14ac:dyDescent="0.2">
      <c r="F216" t="s">
        <v>118</v>
      </c>
      <c r="H216" t="s">
        <v>437</v>
      </c>
      <c r="J216" t="s">
        <v>405</v>
      </c>
    </row>
    <row r="217" spans="6:10" x14ac:dyDescent="0.2">
      <c r="F217" t="s">
        <v>332</v>
      </c>
      <c r="H217" t="s">
        <v>439</v>
      </c>
      <c r="J217" t="s">
        <v>429</v>
      </c>
    </row>
    <row r="218" spans="6:10" x14ac:dyDescent="0.2">
      <c r="F218" t="s">
        <v>157</v>
      </c>
      <c r="H218" t="s">
        <v>437</v>
      </c>
      <c r="J218" t="s">
        <v>411</v>
      </c>
    </row>
    <row r="219" spans="6:10" x14ac:dyDescent="0.2">
      <c r="F219" t="s">
        <v>193</v>
      </c>
      <c r="H219" t="s">
        <v>437</v>
      </c>
      <c r="J219" t="s">
        <v>415</v>
      </c>
    </row>
    <row r="220" spans="6:10" x14ac:dyDescent="0.2">
      <c r="F220" t="s">
        <v>333</v>
      </c>
      <c r="H220" t="s">
        <v>439</v>
      </c>
      <c r="J220" t="s">
        <v>429</v>
      </c>
    </row>
    <row r="221" spans="6:10" x14ac:dyDescent="0.2">
      <c r="F221" t="s">
        <v>201</v>
      </c>
      <c r="H221" t="s">
        <v>437</v>
      </c>
      <c r="J221" t="s">
        <v>416</v>
      </c>
    </row>
    <row r="222" spans="6:10" x14ac:dyDescent="0.2">
      <c r="F222" t="s">
        <v>339</v>
      </c>
      <c r="H222" t="s">
        <v>439</v>
      </c>
      <c r="J222" t="s">
        <v>433</v>
      </c>
    </row>
    <row r="223" spans="6:10" x14ac:dyDescent="0.2">
      <c r="F223" t="s">
        <v>92</v>
      </c>
      <c r="H223" t="s">
        <v>436</v>
      </c>
      <c r="J223" t="s">
        <v>430</v>
      </c>
    </row>
    <row r="224" spans="6:10" x14ac:dyDescent="0.2">
      <c r="F224" t="s">
        <v>251</v>
      </c>
      <c r="H224" t="s">
        <v>437</v>
      </c>
      <c r="J224" t="s">
        <v>425</v>
      </c>
    </row>
    <row r="225" spans="6:10" x14ac:dyDescent="0.2">
      <c r="F225" t="s">
        <v>428</v>
      </c>
      <c r="H225" t="s">
        <v>441</v>
      </c>
      <c r="J225" t="s">
        <v>447</v>
      </c>
    </row>
    <row r="226" spans="6:10" x14ac:dyDescent="0.2">
      <c r="F226" t="s">
        <v>190</v>
      </c>
      <c r="H226" t="s">
        <v>437</v>
      </c>
      <c r="J226" t="s">
        <v>414</v>
      </c>
    </row>
    <row r="227" spans="6:10" x14ac:dyDescent="0.2">
      <c r="F227" t="s">
        <v>418</v>
      </c>
      <c r="H227" t="s">
        <v>440</v>
      </c>
      <c r="J227" t="s">
        <v>429</v>
      </c>
    </row>
    <row r="228" spans="6:10" x14ac:dyDescent="0.2">
      <c r="F228" t="s">
        <v>207</v>
      </c>
      <c r="H228" t="s">
        <v>437</v>
      </c>
      <c r="J228" t="s">
        <v>417</v>
      </c>
    </row>
    <row r="229" spans="6:10" x14ac:dyDescent="0.2">
      <c r="F229" t="s">
        <v>417</v>
      </c>
      <c r="H229" t="s">
        <v>440</v>
      </c>
      <c r="J229" t="s">
        <v>432</v>
      </c>
    </row>
    <row r="230" spans="6:10" x14ac:dyDescent="0.2">
      <c r="F230" t="s">
        <v>357</v>
      </c>
      <c r="H230" t="s">
        <v>439</v>
      </c>
      <c r="J230" t="s">
        <v>430</v>
      </c>
    </row>
    <row r="231" spans="6:10" x14ac:dyDescent="0.2">
      <c r="F231" t="s">
        <v>288</v>
      </c>
      <c r="H231" t="s">
        <v>437</v>
      </c>
      <c r="J231" t="s">
        <v>416</v>
      </c>
    </row>
    <row r="232" spans="6:10" x14ac:dyDescent="0.2">
      <c r="F232" t="s">
        <v>378</v>
      </c>
      <c r="H232" t="s">
        <v>439</v>
      </c>
      <c r="J232" t="s">
        <v>432</v>
      </c>
    </row>
    <row r="233" spans="6:10" x14ac:dyDescent="0.2">
      <c r="F233" t="s">
        <v>419</v>
      </c>
      <c r="H233" t="s">
        <v>440</v>
      </c>
      <c r="J233" t="s">
        <v>432</v>
      </c>
    </row>
    <row r="234" spans="6:10" x14ac:dyDescent="0.2">
      <c r="F234" t="s">
        <v>277</v>
      </c>
      <c r="H234" t="s">
        <v>437</v>
      </c>
      <c r="J234" t="s">
        <v>425</v>
      </c>
    </row>
    <row r="235" spans="6:10" x14ac:dyDescent="0.2">
      <c r="F235" t="s">
        <v>272</v>
      </c>
      <c r="H235" t="s">
        <v>437</v>
      </c>
      <c r="J235" t="s">
        <v>414</v>
      </c>
    </row>
    <row r="236" spans="6:10" x14ac:dyDescent="0.2">
      <c r="F236" t="s">
        <v>64</v>
      </c>
      <c r="H236" t="s">
        <v>436</v>
      </c>
      <c r="J236" t="s">
        <v>428</v>
      </c>
    </row>
    <row r="237" spans="6:10" x14ac:dyDescent="0.2">
      <c r="F237" t="s">
        <v>225</v>
      </c>
      <c r="H237" t="s">
        <v>437</v>
      </c>
      <c r="J237" t="s">
        <v>420</v>
      </c>
    </row>
    <row r="238" spans="6:10" x14ac:dyDescent="0.2">
      <c r="F238" t="s">
        <v>420</v>
      </c>
      <c r="H238" t="s">
        <v>440</v>
      </c>
      <c r="J238" t="s">
        <v>435</v>
      </c>
    </row>
    <row r="239" spans="6:10" x14ac:dyDescent="0.2">
      <c r="F239" t="s">
        <v>386</v>
      </c>
      <c r="H239" t="s">
        <v>439</v>
      </c>
      <c r="J239" t="s">
        <v>446</v>
      </c>
    </row>
    <row r="240" spans="6:10" x14ac:dyDescent="0.2">
      <c r="F240" t="s">
        <v>178</v>
      </c>
      <c r="H240" t="s">
        <v>437</v>
      </c>
      <c r="J240" t="s">
        <v>413</v>
      </c>
    </row>
    <row r="241" spans="6:10" x14ac:dyDescent="0.2">
      <c r="F241" t="s">
        <v>343</v>
      </c>
      <c r="H241" t="s">
        <v>439</v>
      </c>
      <c r="J241" t="s">
        <v>434</v>
      </c>
    </row>
    <row r="242" spans="6:10" x14ac:dyDescent="0.2">
      <c r="F242" t="s">
        <v>368</v>
      </c>
      <c r="H242" t="s">
        <v>439</v>
      </c>
      <c r="J242" t="s">
        <v>433</v>
      </c>
    </row>
    <row r="243" spans="6:10" x14ac:dyDescent="0.2">
      <c r="F243" t="s">
        <v>372</v>
      </c>
      <c r="H243" t="s">
        <v>439</v>
      </c>
      <c r="J243" t="s">
        <v>435</v>
      </c>
    </row>
    <row r="244" spans="6:10" x14ac:dyDescent="0.2">
      <c r="F244" t="s">
        <v>380</v>
      </c>
      <c r="H244" t="s">
        <v>439</v>
      </c>
      <c r="J244" t="s">
        <v>446</v>
      </c>
    </row>
    <row r="245" spans="6:10" x14ac:dyDescent="0.2">
      <c r="F245" t="s">
        <v>179</v>
      </c>
      <c r="H245" t="s">
        <v>437</v>
      </c>
      <c r="J245" t="s">
        <v>413</v>
      </c>
    </row>
    <row r="246" spans="6:10" x14ac:dyDescent="0.2">
      <c r="F246" t="s">
        <v>371</v>
      </c>
      <c r="H246" t="s">
        <v>439</v>
      </c>
      <c r="J246" t="s">
        <v>435</v>
      </c>
    </row>
    <row r="247" spans="6:10" x14ac:dyDescent="0.2">
      <c r="F247" t="s">
        <v>321</v>
      </c>
      <c r="H247" t="s">
        <v>438</v>
      </c>
      <c r="J247" t="s">
        <v>445</v>
      </c>
    </row>
    <row r="248" spans="6:10" x14ac:dyDescent="0.2">
      <c r="F248" t="s">
        <v>325</v>
      </c>
      <c r="H248" t="s">
        <v>439</v>
      </c>
      <c r="J248" t="s">
        <v>430</v>
      </c>
    </row>
    <row r="249" spans="6:10" x14ac:dyDescent="0.2">
      <c r="F249" t="s">
        <v>262</v>
      </c>
      <c r="H249" t="s">
        <v>437</v>
      </c>
      <c r="J249" t="s">
        <v>427</v>
      </c>
    </row>
    <row r="250" spans="6:10" x14ac:dyDescent="0.2">
      <c r="F250" t="s">
        <v>247</v>
      </c>
      <c r="H250" t="s">
        <v>437</v>
      </c>
      <c r="J250" t="s">
        <v>424</v>
      </c>
    </row>
    <row r="251" spans="6:10" x14ac:dyDescent="0.2">
      <c r="F251" t="s">
        <v>391</v>
      </c>
      <c r="H251" t="s">
        <v>439</v>
      </c>
      <c r="J251" t="s">
        <v>446</v>
      </c>
    </row>
    <row r="252" spans="6:10" x14ac:dyDescent="0.2">
      <c r="F252" t="s">
        <v>180</v>
      </c>
      <c r="H252" t="s">
        <v>437</v>
      </c>
      <c r="J252" t="s">
        <v>413</v>
      </c>
    </row>
    <row r="253" spans="6:10" x14ac:dyDescent="0.2">
      <c r="F253" t="s">
        <v>311</v>
      </c>
      <c r="H253" t="s">
        <v>438</v>
      </c>
      <c r="J253" t="s">
        <v>445</v>
      </c>
    </row>
    <row r="254" spans="6:10" x14ac:dyDescent="0.2">
      <c r="F254" t="s">
        <v>213</v>
      </c>
      <c r="H254" t="s">
        <v>437</v>
      </c>
      <c r="J254" t="s">
        <v>418</v>
      </c>
    </row>
    <row r="255" spans="6:10" x14ac:dyDescent="0.2">
      <c r="F255" t="s">
        <v>87</v>
      </c>
      <c r="H255" t="s">
        <v>436</v>
      </c>
      <c r="J255" t="s">
        <v>428</v>
      </c>
    </row>
    <row r="256" spans="6:10" x14ac:dyDescent="0.2">
      <c r="F256" t="s">
        <v>138</v>
      </c>
      <c r="H256" t="s">
        <v>437</v>
      </c>
      <c r="J256" t="s">
        <v>408</v>
      </c>
    </row>
    <row r="257" spans="6:10" x14ac:dyDescent="0.2">
      <c r="F257" t="s">
        <v>181</v>
      </c>
      <c r="H257" t="s">
        <v>437</v>
      </c>
      <c r="J257" t="s">
        <v>413</v>
      </c>
    </row>
    <row r="258" spans="6:10" x14ac:dyDescent="0.2">
      <c r="F258" t="s">
        <v>128</v>
      </c>
      <c r="H258" t="s">
        <v>437</v>
      </c>
      <c r="J258" t="s">
        <v>407</v>
      </c>
    </row>
    <row r="259" spans="6:10" x14ac:dyDescent="0.2">
      <c r="F259" t="s">
        <v>73</v>
      </c>
      <c r="H259" t="s">
        <v>436</v>
      </c>
      <c r="J259" t="s">
        <v>429</v>
      </c>
    </row>
    <row r="260" spans="6:10" x14ac:dyDescent="0.2">
      <c r="F260" t="s">
        <v>252</v>
      </c>
      <c r="H260" t="s">
        <v>437</v>
      </c>
      <c r="J260" t="s">
        <v>425</v>
      </c>
    </row>
    <row r="261" spans="6:10" x14ac:dyDescent="0.2">
      <c r="F261" t="s">
        <v>287</v>
      </c>
      <c r="H261" t="s">
        <v>437</v>
      </c>
      <c r="J261" t="s">
        <v>424</v>
      </c>
    </row>
    <row r="262" spans="6:10" x14ac:dyDescent="0.2">
      <c r="F262" t="s">
        <v>223</v>
      </c>
      <c r="H262" t="s">
        <v>437</v>
      </c>
      <c r="J262" t="s">
        <v>419</v>
      </c>
    </row>
    <row r="263" spans="6:10" x14ac:dyDescent="0.2">
      <c r="F263" t="s">
        <v>279</v>
      </c>
      <c r="H263" t="s">
        <v>437</v>
      </c>
      <c r="J263" t="s">
        <v>410</v>
      </c>
    </row>
    <row r="264" spans="6:10" x14ac:dyDescent="0.2">
      <c r="F264" t="s">
        <v>335</v>
      </c>
      <c r="H264" t="s">
        <v>439</v>
      </c>
      <c r="J264" t="s">
        <v>432</v>
      </c>
    </row>
    <row r="265" spans="6:10" x14ac:dyDescent="0.2">
      <c r="F265" t="s">
        <v>214</v>
      </c>
      <c r="H265" t="s">
        <v>437</v>
      </c>
      <c r="J265" t="s">
        <v>418</v>
      </c>
    </row>
    <row r="266" spans="6:10" x14ac:dyDescent="0.2">
      <c r="F266" t="s">
        <v>88</v>
      </c>
      <c r="H266" t="s">
        <v>436</v>
      </c>
      <c r="J266" t="s">
        <v>428</v>
      </c>
    </row>
    <row r="267" spans="6:10" x14ac:dyDescent="0.2">
      <c r="F267" t="s">
        <v>95</v>
      </c>
      <c r="H267" t="s">
        <v>436</v>
      </c>
      <c r="J267" t="s">
        <v>431</v>
      </c>
    </row>
    <row r="268" spans="6:10" x14ac:dyDescent="0.2">
      <c r="F268" t="s">
        <v>215</v>
      </c>
      <c r="H268" t="s">
        <v>437</v>
      </c>
      <c r="J268" t="s">
        <v>418</v>
      </c>
    </row>
    <row r="269" spans="6:10" x14ac:dyDescent="0.2">
      <c r="F269" t="s">
        <v>230</v>
      </c>
      <c r="H269" t="s">
        <v>437</v>
      </c>
      <c r="J269" t="s">
        <v>421</v>
      </c>
    </row>
    <row r="270" spans="6:10" x14ac:dyDescent="0.2">
      <c r="F270" t="s">
        <v>70</v>
      </c>
      <c r="H270" t="s">
        <v>436</v>
      </c>
      <c r="J270" t="s">
        <v>428</v>
      </c>
    </row>
    <row r="271" spans="6:10" x14ac:dyDescent="0.2">
      <c r="F271" t="s">
        <v>216</v>
      </c>
      <c r="H271" t="s">
        <v>437</v>
      </c>
      <c r="J271" t="s">
        <v>418</v>
      </c>
    </row>
    <row r="272" spans="6:10" x14ac:dyDescent="0.2">
      <c r="F272" t="s">
        <v>167</v>
      </c>
      <c r="H272" t="s">
        <v>437</v>
      </c>
      <c r="J272" t="s">
        <v>412</v>
      </c>
    </row>
    <row r="273" spans="6:10" x14ac:dyDescent="0.2">
      <c r="F273" t="s">
        <v>74</v>
      </c>
      <c r="H273" t="s">
        <v>436</v>
      </c>
      <c r="J273" t="s">
        <v>429</v>
      </c>
    </row>
    <row r="274" spans="6:10" x14ac:dyDescent="0.2">
      <c r="F274" t="s">
        <v>360</v>
      </c>
      <c r="H274" t="s">
        <v>439</v>
      </c>
      <c r="J274" t="s">
        <v>431</v>
      </c>
    </row>
    <row r="275" spans="6:10" x14ac:dyDescent="0.2">
      <c r="F275" t="s">
        <v>348</v>
      </c>
      <c r="H275" t="s">
        <v>439</v>
      </c>
      <c r="J275" t="s">
        <v>435</v>
      </c>
    </row>
    <row r="276" spans="6:10" x14ac:dyDescent="0.2">
      <c r="F276" t="s">
        <v>80</v>
      </c>
      <c r="H276" t="s">
        <v>436</v>
      </c>
      <c r="J276" t="s">
        <v>431</v>
      </c>
    </row>
    <row r="277" spans="6:10" x14ac:dyDescent="0.2">
      <c r="F277" t="s">
        <v>421</v>
      </c>
      <c r="H277" t="s">
        <v>440</v>
      </c>
      <c r="J277" t="s">
        <v>433</v>
      </c>
    </row>
    <row r="278" spans="6:10" x14ac:dyDescent="0.2">
      <c r="F278" t="s">
        <v>232</v>
      </c>
      <c r="H278" t="s">
        <v>437</v>
      </c>
      <c r="J278" t="s">
        <v>421</v>
      </c>
    </row>
    <row r="279" spans="6:10" x14ac:dyDescent="0.2">
      <c r="F279" t="s">
        <v>100</v>
      </c>
      <c r="H279" t="s">
        <v>437</v>
      </c>
      <c r="J279" t="s">
        <v>402</v>
      </c>
    </row>
    <row r="280" spans="6:10" x14ac:dyDescent="0.2">
      <c r="F280" t="s">
        <v>105</v>
      </c>
      <c r="H280" t="s">
        <v>437</v>
      </c>
      <c r="J280" t="s">
        <v>403</v>
      </c>
    </row>
    <row r="281" spans="6:10" x14ac:dyDescent="0.2">
      <c r="F281" t="s">
        <v>119</v>
      </c>
      <c r="H281" t="s">
        <v>437</v>
      </c>
      <c r="J281" t="s">
        <v>405</v>
      </c>
    </row>
    <row r="282" spans="6:10" x14ac:dyDescent="0.2">
      <c r="F282" t="s">
        <v>435</v>
      </c>
      <c r="H282" t="s">
        <v>441</v>
      </c>
      <c r="J282" t="s">
        <v>447</v>
      </c>
    </row>
    <row r="283" spans="6:10" x14ac:dyDescent="0.2">
      <c r="F283" t="s">
        <v>340</v>
      </c>
      <c r="H283" t="s">
        <v>439</v>
      </c>
      <c r="J283" t="s">
        <v>433</v>
      </c>
    </row>
    <row r="284" spans="6:10" x14ac:dyDescent="0.2">
      <c r="F284" t="s">
        <v>123</v>
      </c>
      <c r="H284" t="s">
        <v>437</v>
      </c>
      <c r="J284" t="s">
        <v>406</v>
      </c>
    </row>
    <row r="285" spans="6:10" x14ac:dyDescent="0.2">
      <c r="F285" t="s">
        <v>194</v>
      </c>
      <c r="H285" t="s">
        <v>437</v>
      </c>
      <c r="J285" t="s">
        <v>415</v>
      </c>
    </row>
    <row r="286" spans="6:10" x14ac:dyDescent="0.2">
      <c r="F286" t="s">
        <v>195</v>
      </c>
      <c r="H286" t="s">
        <v>437</v>
      </c>
      <c r="J286" t="s">
        <v>415</v>
      </c>
    </row>
    <row r="287" spans="6:10" x14ac:dyDescent="0.2">
      <c r="F287" t="s">
        <v>111</v>
      </c>
      <c r="H287" t="s">
        <v>437</v>
      </c>
      <c r="J287" t="s">
        <v>404</v>
      </c>
    </row>
    <row r="288" spans="6:10" x14ac:dyDescent="0.2">
      <c r="F288" t="s">
        <v>202</v>
      </c>
      <c r="H288" t="s">
        <v>437</v>
      </c>
      <c r="J288" t="s">
        <v>416</v>
      </c>
    </row>
    <row r="289" spans="6:10" x14ac:dyDescent="0.2">
      <c r="F289" t="s">
        <v>208</v>
      </c>
      <c r="H289" t="s">
        <v>437</v>
      </c>
      <c r="J289" t="s">
        <v>417</v>
      </c>
    </row>
    <row r="290" spans="6:10" x14ac:dyDescent="0.2">
      <c r="F290" t="s">
        <v>226</v>
      </c>
      <c r="H290" t="s">
        <v>437</v>
      </c>
      <c r="J290" t="s">
        <v>420</v>
      </c>
    </row>
    <row r="291" spans="6:10" x14ac:dyDescent="0.2">
      <c r="F291" t="s">
        <v>182</v>
      </c>
      <c r="H291" t="s">
        <v>437</v>
      </c>
      <c r="J291" t="s">
        <v>413</v>
      </c>
    </row>
    <row r="292" spans="6:10" x14ac:dyDescent="0.2">
      <c r="F292" t="s">
        <v>231</v>
      </c>
      <c r="H292" t="s">
        <v>437</v>
      </c>
      <c r="J292" t="s">
        <v>421</v>
      </c>
    </row>
    <row r="293" spans="6:10" x14ac:dyDescent="0.2">
      <c r="F293" t="s">
        <v>237</v>
      </c>
      <c r="H293" t="s">
        <v>437</v>
      </c>
      <c r="J293" t="s">
        <v>422</v>
      </c>
    </row>
    <row r="294" spans="6:10" x14ac:dyDescent="0.2">
      <c r="F294" t="s">
        <v>93</v>
      </c>
      <c r="H294" t="s">
        <v>436</v>
      </c>
      <c r="J294" t="s">
        <v>430</v>
      </c>
    </row>
    <row r="295" spans="6:10" x14ac:dyDescent="0.2">
      <c r="F295" t="s">
        <v>433</v>
      </c>
      <c r="H295" t="s">
        <v>441</v>
      </c>
      <c r="J295" t="s">
        <v>447</v>
      </c>
    </row>
    <row r="296" spans="6:10" x14ac:dyDescent="0.2">
      <c r="F296" t="s">
        <v>373</v>
      </c>
      <c r="H296" t="s">
        <v>439</v>
      </c>
      <c r="J296" t="s">
        <v>435</v>
      </c>
    </row>
    <row r="297" spans="6:10" x14ac:dyDescent="0.2">
      <c r="F297" t="s">
        <v>344</v>
      </c>
      <c r="H297" t="s">
        <v>439</v>
      </c>
      <c r="J297" t="s">
        <v>434</v>
      </c>
    </row>
    <row r="298" spans="6:10" x14ac:dyDescent="0.2">
      <c r="F298" t="s">
        <v>319</v>
      </c>
      <c r="H298" t="s">
        <v>438</v>
      </c>
      <c r="J298" t="s">
        <v>445</v>
      </c>
    </row>
    <row r="299" spans="6:10" x14ac:dyDescent="0.2">
      <c r="F299" t="s">
        <v>276</v>
      </c>
      <c r="H299" t="s">
        <v>437</v>
      </c>
      <c r="J299" t="s">
        <v>424</v>
      </c>
    </row>
    <row r="300" spans="6:10" x14ac:dyDescent="0.2">
      <c r="F300" t="s">
        <v>158</v>
      </c>
      <c r="H300" t="s">
        <v>437</v>
      </c>
      <c r="J300" t="s">
        <v>411</v>
      </c>
    </row>
    <row r="301" spans="6:10" x14ac:dyDescent="0.2">
      <c r="F301" t="s">
        <v>69</v>
      </c>
      <c r="H301" t="s">
        <v>436</v>
      </c>
      <c r="J301" t="s">
        <v>428</v>
      </c>
    </row>
    <row r="302" spans="6:10" x14ac:dyDescent="0.2">
      <c r="F302" t="s">
        <v>238</v>
      </c>
      <c r="H302" t="s">
        <v>437</v>
      </c>
      <c r="J302" t="s">
        <v>422</v>
      </c>
    </row>
    <row r="303" spans="6:10" x14ac:dyDescent="0.2">
      <c r="F303" t="s">
        <v>422</v>
      </c>
      <c r="H303" t="s">
        <v>440</v>
      </c>
      <c r="J303" t="s">
        <v>431</v>
      </c>
    </row>
    <row r="304" spans="6:10" x14ac:dyDescent="0.2">
      <c r="F304" t="s">
        <v>239</v>
      </c>
      <c r="H304" t="s">
        <v>437</v>
      </c>
      <c r="J304" t="s">
        <v>422</v>
      </c>
    </row>
    <row r="305" spans="6:10" x14ac:dyDescent="0.2">
      <c r="F305" t="s">
        <v>271</v>
      </c>
      <c r="H305" t="s">
        <v>437</v>
      </c>
      <c r="J305" t="s">
        <v>411</v>
      </c>
    </row>
    <row r="306" spans="6:10" x14ac:dyDescent="0.2">
      <c r="F306" t="s">
        <v>89</v>
      </c>
      <c r="H306" t="s">
        <v>436</v>
      </c>
      <c r="J306" t="s">
        <v>428</v>
      </c>
    </row>
    <row r="307" spans="6:10" x14ac:dyDescent="0.2">
      <c r="F307" t="s">
        <v>326</v>
      </c>
      <c r="H307" t="s">
        <v>439</v>
      </c>
      <c r="J307" t="s">
        <v>430</v>
      </c>
    </row>
    <row r="308" spans="6:10" x14ac:dyDescent="0.2">
      <c r="F308" t="s">
        <v>374</v>
      </c>
      <c r="H308" t="s">
        <v>439</v>
      </c>
      <c r="J308" t="s">
        <v>431</v>
      </c>
    </row>
    <row r="309" spans="6:10" x14ac:dyDescent="0.2">
      <c r="F309" t="s">
        <v>253</v>
      </c>
      <c r="H309" t="s">
        <v>437</v>
      </c>
      <c r="J309" t="s">
        <v>425</v>
      </c>
    </row>
    <row r="310" spans="6:10" x14ac:dyDescent="0.2">
      <c r="F310" t="s">
        <v>145</v>
      </c>
      <c r="H310" t="s">
        <v>437</v>
      </c>
      <c r="J310" t="s">
        <v>409</v>
      </c>
    </row>
    <row r="311" spans="6:10" x14ac:dyDescent="0.2">
      <c r="F311" t="s">
        <v>423</v>
      </c>
      <c r="H311" t="s">
        <v>440</v>
      </c>
      <c r="J311" t="s">
        <v>434</v>
      </c>
    </row>
    <row r="312" spans="6:10" x14ac:dyDescent="0.2">
      <c r="F312" t="s">
        <v>77</v>
      </c>
      <c r="H312" t="s">
        <v>436</v>
      </c>
      <c r="J312" t="s">
        <v>430</v>
      </c>
    </row>
    <row r="313" spans="6:10" x14ac:dyDescent="0.2">
      <c r="F313" t="s">
        <v>424</v>
      </c>
      <c r="H313" t="s">
        <v>440</v>
      </c>
      <c r="J313" t="s">
        <v>435</v>
      </c>
    </row>
    <row r="314" spans="6:10" x14ac:dyDescent="0.2">
      <c r="F314" t="s">
        <v>248</v>
      </c>
      <c r="H314" t="s">
        <v>437</v>
      </c>
      <c r="J314" t="s">
        <v>424</v>
      </c>
    </row>
    <row r="315" spans="6:10" x14ac:dyDescent="0.2">
      <c r="F315" t="s">
        <v>312</v>
      </c>
      <c r="H315" t="s">
        <v>438</v>
      </c>
      <c r="J315" t="s">
        <v>445</v>
      </c>
    </row>
    <row r="316" spans="6:10" x14ac:dyDescent="0.2">
      <c r="F316" t="s">
        <v>169</v>
      </c>
      <c r="H316" t="s">
        <v>437</v>
      </c>
      <c r="J316" t="s">
        <v>412</v>
      </c>
    </row>
    <row r="317" spans="6:10" x14ac:dyDescent="0.2">
      <c r="F317" t="s">
        <v>388</v>
      </c>
      <c r="H317" t="s">
        <v>439</v>
      </c>
      <c r="J317" t="s">
        <v>446</v>
      </c>
    </row>
    <row r="318" spans="6:10" x14ac:dyDescent="0.2">
      <c r="F318" t="s">
        <v>342</v>
      </c>
      <c r="H318" t="s">
        <v>439</v>
      </c>
      <c r="J318" t="s">
        <v>433</v>
      </c>
    </row>
    <row r="319" spans="6:10" x14ac:dyDescent="0.2">
      <c r="F319" t="s">
        <v>65</v>
      </c>
      <c r="H319" t="s">
        <v>436</v>
      </c>
      <c r="J319" t="s">
        <v>428</v>
      </c>
    </row>
    <row r="320" spans="6:10" x14ac:dyDescent="0.2">
      <c r="F320" t="s">
        <v>273</v>
      </c>
      <c r="H320" t="s">
        <v>437</v>
      </c>
      <c r="J320" t="s">
        <v>422</v>
      </c>
    </row>
    <row r="321" spans="6:10" x14ac:dyDescent="0.2">
      <c r="F321" t="s">
        <v>249</v>
      </c>
      <c r="H321" t="s">
        <v>437</v>
      </c>
      <c r="J321" t="s">
        <v>424</v>
      </c>
    </row>
    <row r="322" spans="6:10" x14ac:dyDescent="0.2">
      <c r="F322" t="s">
        <v>124</v>
      </c>
      <c r="H322" t="s">
        <v>437</v>
      </c>
      <c r="J322" t="s">
        <v>406</v>
      </c>
    </row>
    <row r="323" spans="6:10" x14ac:dyDescent="0.2">
      <c r="F323" t="s">
        <v>337</v>
      </c>
      <c r="H323" t="s">
        <v>439</v>
      </c>
      <c r="J323" t="s">
        <v>431</v>
      </c>
    </row>
    <row r="324" spans="6:10" x14ac:dyDescent="0.2">
      <c r="F324" t="s">
        <v>139</v>
      </c>
      <c r="H324" t="s">
        <v>437</v>
      </c>
      <c r="J324" t="s">
        <v>408</v>
      </c>
    </row>
    <row r="325" spans="6:10" x14ac:dyDescent="0.2">
      <c r="F325" t="s">
        <v>152</v>
      </c>
      <c r="H325" t="s">
        <v>437</v>
      </c>
      <c r="J325" t="s">
        <v>410</v>
      </c>
    </row>
    <row r="326" spans="6:10" x14ac:dyDescent="0.2">
      <c r="F326" t="s">
        <v>146</v>
      </c>
      <c r="H326" t="s">
        <v>437</v>
      </c>
      <c r="J326" t="s">
        <v>409</v>
      </c>
    </row>
    <row r="327" spans="6:10" x14ac:dyDescent="0.2">
      <c r="F327" t="s">
        <v>170</v>
      </c>
      <c r="H327" t="s">
        <v>437</v>
      </c>
      <c r="J327" t="s">
        <v>412</v>
      </c>
    </row>
    <row r="328" spans="6:10" x14ac:dyDescent="0.2">
      <c r="F328" t="s">
        <v>159</v>
      </c>
      <c r="H328" t="s">
        <v>437</v>
      </c>
      <c r="J328" t="s">
        <v>411</v>
      </c>
    </row>
    <row r="329" spans="6:10" x14ac:dyDescent="0.2">
      <c r="F329" t="s">
        <v>370</v>
      </c>
      <c r="H329" t="s">
        <v>439</v>
      </c>
      <c r="J329" t="s">
        <v>434</v>
      </c>
    </row>
    <row r="330" spans="6:10" x14ac:dyDescent="0.2">
      <c r="F330" t="s">
        <v>171</v>
      </c>
      <c r="H330" t="s">
        <v>437</v>
      </c>
      <c r="J330" t="s">
        <v>412</v>
      </c>
    </row>
    <row r="331" spans="6:10" x14ac:dyDescent="0.2">
      <c r="F331" t="s">
        <v>341</v>
      </c>
      <c r="H331" t="s">
        <v>439</v>
      </c>
      <c r="J331" t="s">
        <v>433</v>
      </c>
    </row>
    <row r="332" spans="6:10" x14ac:dyDescent="0.2">
      <c r="F332" t="s">
        <v>398</v>
      </c>
      <c r="H332" t="s">
        <v>439</v>
      </c>
      <c r="J332" t="s">
        <v>446</v>
      </c>
    </row>
    <row r="333" spans="6:10" x14ac:dyDescent="0.2">
      <c r="F333" t="s">
        <v>125</v>
      </c>
      <c r="H333" t="s">
        <v>437</v>
      </c>
      <c r="J333" t="s">
        <v>406</v>
      </c>
    </row>
    <row r="334" spans="6:10" x14ac:dyDescent="0.2">
      <c r="F334" t="s">
        <v>316</v>
      </c>
      <c r="H334" t="s">
        <v>438</v>
      </c>
      <c r="J334" t="s">
        <v>445</v>
      </c>
    </row>
    <row r="335" spans="6:10" x14ac:dyDescent="0.2">
      <c r="F335" t="s">
        <v>66</v>
      </c>
      <c r="H335" t="s">
        <v>436</v>
      </c>
      <c r="J335" t="s">
        <v>428</v>
      </c>
    </row>
    <row r="336" spans="6:10" x14ac:dyDescent="0.2">
      <c r="F336" t="s">
        <v>172</v>
      </c>
      <c r="H336" t="s">
        <v>437</v>
      </c>
      <c r="J336" t="s">
        <v>412</v>
      </c>
    </row>
    <row r="337" spans="6:10" x14ac:dyDescent="0.2">
      <c r="F337" t="s">
        <v>140</v>
      </c>
      <c r="H337" t="s">
        <v>437</v>
      </c>
      <c r="J337" t="s">
        <v>408</v>
      </c>
    </row>
    <row r="338" spans="6:10" x14ac:dyDescent="0.2">
      <c r="F338" t="s">
        <v>393</v>
      </c>
      <c r="H338" t="s">
        <v>439</v>
      </c>
      <c r="J338" t="s">
        <v>446</v>
      </c>
    </row>
    <row r="339" spans="6:10" x14ac:dyDescent="0.2">
      <c r="F339" t="s">
        <v>227</v>
      </c>
      <c r="H339" t="s">
        <v>437</v>
      </c>
      <c r="J339" t="s">
        <v>420</v>
      </c>
    </row>
    <row r="340" spans="6:10" x14ac:dyDescent="0.2">
      <c r="F340" t="s">
        <v>85</v>
      </c>
      <c r="H340" t="s">
        <v>436</v>
      </c>
      <c r="J340" t="s">
        <v>429</v>
      </c>
    </row>
    <row r="341" spans="6:10" x14ac:dyDescent="0.2">
      <c r="F341" t="s">
        <v>96</v>
      </c>
      <c r="H341" t="s">
        <v>436</v>
      </c>
      <c r="J341" t="s">
        <v>431</v>
      </c>
    </row>
    <row r="342" spans="6:10" x14ac:dyDescent="0.2">
      <c r="F342" t="s">
        <v>313</v>
      </c>
      <c r="H342" t="s">
        <v>438</v>
      </c>
      <c r="J342" t="s">
        <v>445</v>
      </c>
    </row>
    <row r="343" spans="6:10" x14ac:dyDescent="0.2">
      <c r="F343" t="s">
        <v>314</v>
      </c>
      <c r="H343" t="s">
        <v>438</v>
      </c>
      <c r="J343" t="s">
        <v>445</v>
      </c>
    </row>
    <row r="344" spans="6:10" x14ac:dyDescent="0.2">
      <c r="F344" t="s">
        <v>329</v>
      </c>
      <c r="H344" t="s">
        <v>439</v>
      </c>
      <c r="J344" t="s">
        <v>428</v>
      </c>
    </row>
    <row r="345" spans="6:10" x14ac:dyDescent="0.2">
      <c r="F345" t="s">
        <v>254</v>
      </c>
      <c r="H345" t="s">
        <v>437</v>
      </c>
      <c r="J345" t="s">
        <v>425</v>
      </c>
    </row>
    <row r="346" spans="6:10" x14ac:dyDescent="0.2">
      <c r="F346" t="s">
        <v>425</v>
      </c>
      <c r="H346" t="s">
        <v>440</v>
      </c>
      <c r="J346" t="s">
        <v>431</v>
      </c>
    </row>
    <row r="347" spans="6:10" x14ac:dyDescent="0.2">
      <c r="F347" t="s">
        <v>284</v>
      </c>
      <c r="H347" t="s">
        <v>437</v>
      </c>
      <c r="J347" t="s">
        <v>411</v>
      </c>
    </row>
    <row r="348" spans="6:10" x14ac:dyDescent="0.2">
      <c r="F348" t="s">
        <v>250</v>
      </c>
      <c r="H348" t="s">
        <v>437</v>
      </c>
      <c r="J348" t="s">
        <v>424</v>
      </c>
    </row>
    <row r="349" spans="6:10" x14ac:dyDescent="0.2">
      <c r="F349" t="s">
        <v>129</v>
      </c>
      <c r="H349" t="s">
        <v>437</v>
      </c>
      <c r="J349" t="s">
        <v>407</v>
      </c>
    </row>
    <row r="350" spans="6:10" x14ac:dyDescent="0.2">
      <c r="F350" t="s">
        <v>209</v>
      </c>
      <c r="H350" t="s">
        <v>437</v>
      </c>
      <c r="J350" t="s">
        <v>417</v>
      </c>
    </row>
    <row r="351" spans="6:10" x14ac:dyDescent="0.2">
      <c r="F351" t="s">
        <v>160</v>
      </c>
      <c r="H351" t="s">
        <v>437</v>
      </c>
      <c r="J351" t="s">
        <v>411</v>
      </c>
    </row>
    <row r="352" spans="6:10" x14ac:dyDescent="0.2">
      <c r="F352" t="s">
        <v>347</v>
      </c>
      <c r="H352" t="s">
        <v>439</v>
      </c>
      <c r="J352" t="s">
        <v>435</v>
      </c>
    </row>
    <row r="353" spans="6:10" x14ac:dyDescent="0.2">
      <c r="F353" t="s">
        <v>126</v>
      </c>
      <c r="H353" t="s">
        <v>437</v>
      </c>
      <c r="J353" t="s">
        <v>406</v>
      </c>
    </row>
    <row r="354" spans="6:10" x14ac:dyDescent="0.2">
      <c r="F354" t="s">
        <v>183</v>
      </c>
      <c r="H354" t="s">
        <v>437</v>
      </c>
      <c r="J354" t="s">
        <v>413</v>
      </c>
    </row>
    <row r="355" spans="6:10" x14ac:dyDescent="0.2">
      <c r="F355" t="s">
        <v>196</v>
      </c>
      <c r="H355" t="s">
        <v>437</v>
      </c>
      <c r="J355" t="s">
        <v>415</v>
      </c>
    </row>
    <row r="356" spans="6:10" x14ac:dyDescent="0.2">
      <c r="F356" t="s">
        <v>431</v>
      </c>
      <c r="H356" t="s">
        <v>441</v>
      </c>
      <c r="J356" t="s">
        <v>447</v>
      </c>
    </row>
    <row r="357" spans="6:10" x14ac:dyDescent="0.2">
      <c r="F357" t="s">
        <v>228</v>
      </c>
      <c r="H357" t="s">
        <v>437</v>
      </c>
      <c r="J357" t="s">
        <v>420</v>
      </c>
    </row>
    <row r="358" spans="6:10" x14ac:dyDescent="0.2">
      <c r="F358" t="s">
        <v>241</v>
      </c>
      <c r="H358" t="s">
        <v>437</v>
      </c>
      <c r="J358" t="s">
        <v>423</v>
      </c>
    </row>
    <row r="359" spans="6:10" x14ac:dyDescent="0.2">
      <c r="F359" t="s">
        <v>426</v>
      </c>
      <c r="H359" t="s">
        <v>440</v>
      </c>
      <c r="J359" t="s">
        <v>435</v>
      </c>
    </row>
    <row r="360" spans="6:10" x14ac:dyDescent="0.2">
      <c r="F360" t="s">
        <v>290</v>
      </c>
      <c r="H360" t="s">
        <v>438</v>
      </c>
      <c r="J360" t="s">
        <v>445</v>
      </c>
    </row>
    <row r="361" spans="6:10" x14ac:dyDescent="0.2">
      <c r="F361" t="s">
        <v>67</v>
      </c>
      <c r="H361" t="s">
        <v>436</v>
      </c>
      <c r="J361" t="s">
        <v>428</v>
      </c>
    </row>
    <row r="362" spans="6:10" x14ac:dyDescent="0.2">
      <c r="F362" t="s">
        <v>362</v>
      </c>
      <c r="H362" t="s">
        <v>439</v>
      </c>
      <c r="J362" t="s">
        <v>433</v>
      </c>
    </row>
    <row r="363" spans="6:10" x14ac:dyDescent="0.2">
      <c r="F363" t="s">
        <v>153</v>
      </c>
      <c r="H363" t="s">
        <v>437</v>
      </c>
      <c r="J363" t="s">
        <v>410</v>
      </c>
    </row>
    <row r="364" spans="6:10" x14ac:dyDescent="0.2">
      <c r="F364" t="s">
        <v>349</v>
      </c>
      <c r="H364" t="s">
        <v>439</v>
      </c>
      <c r="J364" t="s">
        <v>435</v>
      </c>
    </row>
    <row r="365" spans="6:10" x14ac:dyDescent="0.2">
      <c r="F365" t="s">
        <v>91</v>
      </c>
      <c r="H365" t="s">
        <v>436</v>
      </c>
      <c r="J365" t="s">
        <v>428</v>
      </c>
    </row>
    <row r="366" spans="6:10" x14ac:dyDescent="0.2">
      <c r="F366" t="s">
        <v>282</v>
      </c>
      <c r="H366" t="s">
        <v>437</v>
      </c>
      <c r="J366" t="s">
        <v>424</v>
      </c>
    </row>
    <row r="367" spans="6:10" x14ac:dyDescent="0.2">
      <c r="F367" t="s">
        <v>350</v>
      </c>
      <c r="H367" t="s">
        <v>439</v>
      </c>
      <c r="J367" t="s">
        <v>435</v>
      </c>
    </row>
    <row r="368" spans="6:10" x14ac:dyDescent="0.2">
      <c r="F368" t="s">
        <v>97</v>
      </c>
      <c r="H368" t="s">
        <v>436</v>
      </c>
      <c r="J368" t="s">
        <v>431</v>
      </c>
    </row>
    <row r="369" spans="2:10" x14ac:dyDescent="0.2">
      <c r="F369" t="s">
        <v>263</v>
      </c>
      <c r="H369" t="s">
        <v>437</v>
      </c>
      <c r="J369" t="s">
        <v>427</v>
      </c>
    </row>
    <row r="370" spans="2:10" x14ac:dyDescent="0.2">
      <c r="F370" t="s">
        <v>427</v>
      </c>
      <c r="H370" t="s">
        <v>440</v>
      </c>
      <c r="J370" t="s">
        <v>431</v>
      </c>
    </row>
    <row r="371" spans="2:10" x14ac:dyDescent="0.2">
      <c r="F371" t="s">
        <v>278</v>
      </c>
      <c r="H371" t="s">
        <v>437</v>
      </c>
      <c r="J371" t="s">
        <v>426</v>
      </c>
    </row>
    <row r="372" spans="2:10" x14ac:dyDescent="0.2">
      <c r="F372" t="s">
        <v>389</v>
      </c>
      <c r="H372" t="s">
        <v>439</v>
      </c>
      <c r="J372" t="s">
        <v>446</v>
      </c>
    </row>
    <row r="373" spans="2:10" x14ac:dyDescent="0.2">
      <c r="F373" t="s">
        <v>264</v>
      </c>
      <c r="H373" t="s">
        <v>437</v>
      </c>
      <c r="J373" t="s">
        <v>427</v>
      </c>
    </row>
    <row r="374" spans="2:10" x14ac:dyDescent="0.2">
      <c r="F374" t="s">
        <v>101</v>
      </c>
      <c r="H374" t="s">
        <v>437</v>
      </c>
      <c r="J374" t="s">
        <v>402</v>
      </c>
    </row>
    <row r="375" spans="2:10" x14ac:dyDescent="0.2">
      <c r="F375" t="s">
        <v>184</v>
      </c>
      <c r="H375" t="s">
        <v>437</v>
      </c>
      <c r="J375" t="s">
        <v>413</v>
      </c>
    </row>
    <row r="376" spans="2:10" x14ac:dyDescent="0.2">
      <c r="F376" t="s">
        <v>265</v>
      </c>
      <c r="H376" t="s">
        <v>437</v>
      </c>
      <c r="J376" t="s">
        <v>427</v>
      </c>
    </row>
    <row r="377" spans="2:10" x14ac:dyDescent="0.2">
      <c r="F377" t="s">
        <v>334</v>
      </c>
      <c r="H377" t="s">
        <v>439</v>
      </c>
      <c r="J377" t="s">
        <v>429</v>
      </c>
    </row>
    <row r="378" spans="2:10" x14ac:dyDescent="0.2">
      <c r="F378" t="s">
        <v>429</v>
      </c>
      <c r="H378" t="s">
        <v>441</v>
      </c>
      <c r="J378" t="s">
        <v>447</v>
      </c>
    </row>
    <row r="381" spans="2:10" ht="15" x14ac:dyDescent="0.2">
      <c r="B381" s="30" t="s">
        <v>554</v>
      </c>
      <c r="C381" s="31"/>
      <c r="D381" s="31"/>
    </row>
    <row r="382" spans="2:10" x14ac:dyDescent="0.2">
      <c r="B382" s="280" t="s">
        <v>555</v>
      </c>
      <c r="C382" s="280"/>
      <c r="D382" s="280"/>
    </row>
  </sheetData>
  <sortState xmlns:xlrd2="http://schemas.microsoft.com/office/spreadsheetml/2017/richdata2" ref="F5:J378">
    <sortCondition ref="F5:F378"/>
  </sortState>
  <mergeCells count="1">
    <mergeCell ref="B382:D382"/>
  </mergeCells>
  <phoneticPr fontId="1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AF41-7BA7-46FA-94BC-8608C730467F}">
  <sheetPr>
    <tabColor rgb="FF007078"/>
  </sheetPr>
  <dimension ref="A7:AH204"/>
  <sheetViews>
    <sheetView showGridLines="0" tabSelected="1" topLeftCell="A44" zoomScale="80" zoomScaleNormal="80" workbookViewId="0">
      <selection activeCell="C72" sqref="C72"/>
    </sheetView>
  </sheetViews>
  <sheetFormatPr defaultColWidth="8.75" defaultRowHeight="14.25" x14ac:dyDescent="0.2"/>
  <cols>
    <col min="1" max="1" width="8.75" style="56" customWidth="1"/>
    <col min="2" max="6" width="8.75" style="56"/>
    <col min="7" max="7" width="12.25" style="56" bestFit="1" customWidth="1"/>
    <col min="8" max="8" width="8.75" style="56"/>
    <col min="9" max="9" width="8.75" style="56" customWidth="1"/>
    <col min="10" max="16384" width="8.75" style="56"/>
  </cols>
  <sheetData>
    <row r="7" spans="2:23" ht="15" thickBot="1" x14ac:dyDescent="0.25"/>
    <row r="8" spans="2:23" x14ac:dyDescent="0.2">
      <c r="B8" s="57"/>
      <c r="C8" s="57"/>
      <c r="D8" s="57"/>
      <c r="E8" s="57"/>
      <c r="F8" s="57"/>
      <c r="G8" s="57"/>
      <c r="H8" s="57"/>
      <c r="I8" s="57"/>
      <c r="J8" s="57"/>
      <c r="K8" s="57"/>
      <c r="L8" s="57"/>
      <c r="M8" s="57"/>
      <c r="N8" s="57"/>
      <c r="O8" s="57"/>
      <c r="P8" s="57"/>
      <c r="Q8" s="57"/>
      <c r="R8" s="57"/>
      <c r="S8" s="57"/>
      <c r="T8" s="57"/>
      <c r="U8" s="57"/>
      <c r="V8" s="57"/>
    </row>
    <row r="9" spans="2:23" ht="15" x14ac:dyDescent="0.25">
      <c r="B9" s="263" t="s">
        <v>582</v>
      </c>
      <c r="C9" s="263"/>
      <c r="D9" s="263"/>
      <c r="E9" s="263"/>
      <c r="F9" s="263"/>
      <c r="G9" s="263"/>
      <c r="H9" s="72"/>
      <c r="I9" s="72"/>
      <c r="J9" s="72"/>
      <c r="K9" s="72"/>
      <c r="L9" s="72"/>
      <c r="M9" s="72"/>
      <c r="N9" s="72"/>
      <c r="O9" s="72"/>
      <c r="P9" s="72"/>
      <c r="Q9" s="72"/>
      <c r="R9" s="72"/>
      <c r="S9" s="72"/>
      <c r="T9" s="72"/>
      <c r="U9" s="72"/>
      <c r="V9" s="72"/>
      <c r="W9" s="72"/>
    </row>
    <row r="10" spans="2:23" ht="49.15" customHeight="1" x14ac:dyDescent="0.2">
      <c r="B10" s="264" t="s">
        <v>742</v>
      </c>
      <c r="C10" s="264"/>
      <c r="D10" s="264"/>
      <c r="E10" s="264"/>
      <c r="F10" s="264"/>
      <c r="G10" s="264"/>
      <c r="H10" s="264"/>
      <c r="I10" s="264"/>
      <c r="J10" s="264"/>
      <c r="K10" s="264"/>
      <c r="L10" s="264"/>
      <c r="M10" s="264"/>
      <c r="N10" s="264"/>
      <c r="O10" s="264"/>
      <c r="P10" s="264"/>
      <c r="Q10" s="264"/>
      <c r="R10" s="264"/>
      <c r="S10" s="264"/>
      <c r="T10" s="264"/>
      <c r="U10" s="264"/>
      <c r="V10" s="264"/>
      <c r="W10" s="72"/>
    </row>
    <row r="11" spans="2:23" ht="15" thickBot="1" x14ac:dyDescent="0.25">
      <c r="B11" s="73"/>
      <c r="C11" s="73"/>
      <c r="D11" s="73"/>
      <c r="E11" s="73"/>
      <c r="F11" s="73"/>
      <c r="G11" s="73"/>
      <c r="H11" s="74"/>
      <c r="I11" s="74"/>
      <c r="J11" s="74"/>
      <c r="K11" s="74"/>
      <c r="L11" s="74"/>
      <c r="M11" s="74"/>
      <c r="N11" s="74"/>
      <c r="O11" s="74"/>
      <c r="P11" s="74"/>
      <c r="Q11" s="74"/>
      <c r="R11" s="74"/>
      <c r="S11" s="74"/>
      <c r="T11" s="74"/>
      <c r="U11" s="74"/>
      <c r="V11" s="74"/>
    </row>
    <row r="12" spans="2:23" x14ac:dyDescent="0.2">
      <c r="B12" s="57"/>
      <c r="C12" s="57"/>
      <c r="D12" s="57"/>
      <c r="E12" s="57"/>
      <c r="F12" s="57"/>
      <c r="G12" s="57"/>
      <c r="H12" s="57"/>
      <c r="I12" s="57"/>
      <c r="J12" s="57"/>
      <c r="K12" s="57"/>
      <c r="L12" s="57"/>
      <c r="M12" s="57"/>
      <c r="N12" s="57"/>
      <c r="O12" s="57"/>
      <c r="P12" s="57"/>
      <c r="Q12" s="57"/>
      <c r="R12" s="57"/>
      <c r="S12" s="57"/>
      <c r="T12" s="57"/>
      <c r="U12" s="57"/>
      <c r="V12" s="57"/>
    </row>
    <row r="13" spans="2:23" ht="15" x14ac:dyDescent="0.25">
      <c r="B13" s="263" t="s">
        <v>546</v>
      </c>
      <c r="C13" s="263"/>
      <c r="D13" s="263"/>
      <c r="E13" s="263"/>
      <c r="F13" s="263"/>
      <c r="G13" s="263"/>
      <c r="H13" s="72"/>
      <c r="I13" s="72"/>
      <c r="J13" s="72"/>
      <c r="K13" s="72"/>
      <c r="L13" s="72"/>
      <c r="M13" s="72"/>
      <c r="N13" s="72"/>
      <c r="O13" s="72"/>
      <c r="P13" s="72"/>
      <c r="Q13" s="72"/>
      <c r="R13" s="72"/>
      <c r="S13" s="72"/>
      <c r="T13" s="72"/>
      <c r="U13" s="72"/>
      <c r="V13" s="72"/>
      <c r="W13" s="72"/>
    </row>
    <row r="14" spans="2:23" ht="138.4" customHeight="1" x14ac:dyDescent="0.2">
      <c r="B14" s="264" t="s">
        <v>561</v>
      </c>
      <c r="C14" s="264"/>
      <c r="D14" s="264"/>
      <c r="E14" s="264"/>
      <c r="F14" s="264"/>
      <c r="G14" s="264"/>
      <c r="H14" s="264"/>
      <c r="I14" s="264"/>
      <c r="J14" s="264"/>
      <c r="K14" s="264"/>
      <c r="L14" s="264"/>
      <c r="M14" s="264"/>
      <c r="N14" s="264"/>
      <c r="O14" s="264"/>
      <c r="P14" s="264"/>
      <c r="Q14" s="264"/>
      <c r="R14" s="264"/>
      <c r="S14" s="264"/>
      <c r="T14" s="264"/>
      <c r="U14" s="264"/>
      <c r="V14" s="264"/>
      <c r="W14" s="72"/>
    </row>
    <row r="15" spans="2:23" ht="15" thickBot="1" x14ac:dyDescent="0.25">
      <c r="B15" s="73"/>
      <c r="C15" s="73"/>
      <c r="D15" s="73"/>
      <c r="E15" s="73"/>
      <c r="F15" s="73"/>
      <c r="G15" s="73"/>
      <c r="H15" s="74"/>
      <c r="I15" s="74"/>
      <c r="J15" s="74"/>
      <c r="K15" s="74"/>
      <c r="L15" s="74"/>
      <c r="M15" s="74"/>
      <c r="N15" s="74"/>
      <c r="O15" s="74"/>
      <c r="P15" s="74"/>
      <c r="Q15" s="74"/>
      <c r="R15" s="74"/>
      <c r="S15" s="74"/>
      <c r="T15" s="74"/>
      <c r="U15" s="74"/>
      <c r="V15" s="74"/>
    </row>
    <row r="16" spans="2:23" x14ac:dyDescent="0.2">
      <c r="B16" s="75"/>
      <c r="C16" s="75"/>
      <c r="D16" s="75"/>
      <c r="E16" s="75"/>
      <c r="F16" s="75"/>
      <c r="G16" s="75"/>
      <c r="H16" s="72"/>
      <c r="I16" s="72"/>
      <c r="J16" s="72"/>
      <c r="K16" s="72"/>
      <c r="L16" s="72"/>
      <c r="M16" s="72"/>
      <c r="N16" s="72"/>
      <c r="O16" s="72"/>
      <c r="P16" s="72"/>
      <c r="Q16" s="72"/>
      <c r="R16" s="72"/>
      <c r="S16" s="72"/>
      <c r="T16" s="72"/>
      <c r="U16" s="72"/>
      <c r="V16" s="72"/>
    </row>
    <row r="17" spans="2:24" ht="15" x14ac:dyDescent="0.2">
      <c r="B17" s="265" t="s">
        <v>556</v>
      </c>
      <c r="C17" s="265"/>
      <c r="D17" s="265"/>
      <c r="E17" s="265"/>
      <c r="F17" s="265"/>
      <c r="G17" s="265"/>
    </row>
    <row r="18" spans="2:24" x14ac:dyDescent="0.2">
      <c r="B18" s="76" t="s">
        <v>511</v>
      </c>
      <c r="C18" s="77"/>
      <c r="D18" s="77"/>
      <c r="E18" s="77"/>
      <c r="F18" s="77"/>
      <c r="G18" s="77"/>
    </row>
    <row r="19" spans="2:24" x14ac:dyDescent="0.2">
      <c r="B19" s="259" t="s">
        <v>508</v>
      </c>
      <c r="C19" s="259"/>
      <c r="D19" s="259"/>
      <c r="E19" s="259"/>
      <c r="F19" s="259"/>
      <c r="G19" s="77"/>
    </row>
    <row r="20" spans="2:24" ht="15" thickBot="1" x14ac:dyDescent="0.25">
      <c r="H20" s="72"/>
    </row>
    <row r="21" spans="2:24" x14ac:dyDescent="0.2">
      <c r="B21" s="78"/>
      <c r="C21" s="78"/>
      <c r="D21" s="78"/>
      <c r="E21" s="78"/>
      <c r="F21" s="78"/>
      <c r="G21" s="78"/>
      <c r="H21" s="72"/>
      <c r="I21" s="78"/>
      <c r="J21" s="78"/>
      <c r="K21" s="78"/>
      <c r="L21" s="78"/>
      <c r="M21" s="78"/>
      <c r="N21" s="78"/>
      <c r="O21" s="78"/>
      <c r="P21" s="78"/>
      <c r="Q21" s="78"/>
      <c r="R21" s="78"/>
      <c r="S21" s="78"/>
      <c r="T21" s="78"/>
      <c r="U21" s="78"/>
      <c r="V21" s="78"/>
    </row>
    <row r="22" spans="2:24" ht="15" x14ac:dyDescent="0.25">
      <c r="B22" s="79" t="s">
        <v>573</v>
      </c>
      <c r="C22" s="80"/>
      <c r="D22" s="80"/>
      <c r="E22" s="80"/>
      <c r="F22" s="80"/>
      <c r="G22" s="80"/>
      <c r="H22" s="72"/>
      <c r="I22" s="79" t="s">
        <v>574</v>
      </c>
      <c r="J22" s="81"/>
      <c r="K22" s="81"/>
      <c r="L22" s="81"/>
      <c r="M22" s="81"/>
      <c r="N22" s="81"/>
      <c r="O22" s="81"/>
      <c r="P22" s="81"/>
      <c r="Q22" s="81"/>
      <c r="R22" s="81"/>
      <c r="S22" s="81"/>
      <c r="T22" s="81"/>
      <c r="U22" s="81"/>
      <c r="V22" s="81"/>
      <c r="W22" s="82"/>
      <c r="X22" s="82"/>
    </row>
    <row r="23" spans="2:24" ht="44.1" customHeight="1" x14ac:dyDescent="0.2">
      <c r="B23" s="261" t="s">
        <v>505</v>
      </c>
      <c r="C23" s="261"/>
      <c r="D23" s="261"/>
      <c r="E23" s="261"/>
      <c r="F23" s="261"/>
      <c r="G23" s="261"/>
      <c r="I23" s="260" t="s">
        <v>465</v>
      </c>
      <c r="J23" s="260"/>
      <c r="K23" s="260"/>
      <c r="L23" s="260"/>
      <c r="M23" s="260"/>
      <c r="N23" s="260"/>
      <c r="O23" s="260"/>
      <c r="P23" s="260"/>
      <c r="Q23" s="260"/>
      <c r="R23" s="260"/>
      <c r="S23" s="260"/>
      <c r="T23" s="260"/>
      <c r="U23" s="260"/>
      <c r="V23" s="260"/>
      <c r="W23" s="83"/>
      <c r="X23" s="83"/>
    </row>
    <row r="24" spans="2:24" x14ac:dyDescent="0.2">
      <c r="B24" s="261"/>
      <c r="C24" s="261"/>
      <c r="D24" s="261"/>
      <c r="E24" s="261"/>
      <c r="F24" s="261"/>
      <c r="G24" s="261"/>
      <c r="I24" s="260"/>
      <c r="J24" s="260"/>
      <c r="K24" s="260"/>
      <c r="L24" s="260"/>
      <c r="M24" s="260"/>
      <c r="N24" s="260"/>
      <c r="O24" s="260"/>
      <c r="P24" s="260"/>
      <c r="Q24" s="260"/>
      <c r="R24" s="260"/>
      <c r="S24" s="260"/>
      <c r="T24" s="260"/>
      <c r="U24" s="260"/>
      <c r="V24" s="260"/>
      <c r="W24" s="83"/>
      <c r="X24" s="83"/>
    </row>
    <row r="25" spans="2:24" x14ac:dyDescent="0.2">
      <c r="B25" s="261"/>
      <c r="C25" s="261"/>
      <c r="D25" s="261"/>
      <c r="E25" s="261"/>
      <c r="F25" s="261"/>
      <c r="G25" s="261"/>
      <c r="I25" s="84"/>
      <c r="J25" s="84"/>
      <c r="K25" s="84"/>
      <c r="L25" s="84"/>
      <c r="M25" s="84"/>
      <c r="N25" s="84"/>
      <c r="O25" s="84"/>
      <c r="P25" s="84"/>
      <c r="Q25" s="84"/>
      <c r="R25" s="84"/>
      <c r="S25" s="84"/>
      <c r="T25" s="84"/>
      <c r="U25" s="84"/>
      <c r="V25" s="84"/>
      <c r="W25" s="83"/>
      <c r="X25" s="83"/>
    </row>
    <row r="26" spans="2:24" x14ac:dyDescent="0.2">
      <c r="B26" s="261"/>
      <c r="C26" s="261"/>
      <c r="D26" s="261"/>
      <c r="E26" s="261"/>
      <c r="F26" s="261"/>
      <c r="G26" s="261"/>
      <c r="I26" s="84"/>
      <c r="J26" s="84"/>
      <c r="K26" s="84"/>
      <c r="L26" s="84"/>
      <c r="M26" s="84"/>
      <c r="N26" s="84"/>
      <c r="O26" s="84"/>
      <c r="P26" s="84"/>
      <c r="Q26" s="84"/>
      <c r="R26" s="84"/>
      <c r="S26" s="84"/>
      <c r="T26" s="84"/>
      <c r="U26" s="84"/>
      <c r="V26" s="84"/>
      <c r="W26" s="83"/>
      <c r="X26" s="83"/>
    </row>
    <row r="27" spans="2:24" x14ac:dyDescent="0.2">
      <c r="B27" s="261"/>
      <c r="C27" s="261"/>
      <c r="D27" s="261"/>
      <c r="E27" s="261"/>
      <c r="F27" s="261"/>
      <c r="G27" s="261"/>
      <c r="I27" s="84"/>
      <c r="J27" s="84"/>
      <c r="K27" s="84"/>
      <c r="L27" s="84"/>
      <c r="M27" s="84"/>
      <c r="N27" s="84"/>
      <c r="O27" s="84"/>
      <c r="P27" s="84"/>
      <c r="Q27" s="84"/>
      <c r="R27" s="84"/>
      <c r="S27" s="84"/>
      <c r="T27" s="84"/>
      <c r="U27" s="84"/>
      <c r="V27" s="84"/>
      <c r="W27" s="83"/>
      <c r="X27" s="83"/>
    </row>
    <row r="28" spans="2:24" ht="15" thickBot="1" x14ac:dyDescent="0.25">
      <c r="B28" s="262"/>
      <c r="C28" s="262"/>
      <c r="D28" s="262"/>
      <c r="E28" s="262"/>
      <c r="F28" s="262"/>
      <c r="G28" s="262"/>
      <c r="I28" s="85"/>
      <c r="J28" s="85"/>
      <c r="K28" s="85"/>
      <c r="L28" s="85"/>
      <c r="M28" s="85"/>
      <c r="N28" s="85"/>
      <c r="O28" s="85"/>
      <c r="P28" s="85"/>
      <c r="Q28" s="85"/>
      <c r="R28" s="85"/>
      <c r="S28" s="85"/>
      <c r="T28" s="85"/>
      <c r="U28" s="85"/>
      <c r="V28" s="85"/>
      <c r="W28" s="83"/>
      <c r="X28" s="83"/>
    </row>
    <row r="29" spans="2:24" x14ac:dyDescent="0.2">
      <c r="B29" s="86"/>
      <c r="C29" s="86"/>
      <c r="D29" s="86"/>
      <c r="E29" s="86"/>
      <c r="F29" s="86"/>
      <c r="G29" s="86"/>
      <c r="I29" s="86"/>
      <c r="J29" s="86"/>
      <c r="K29" s="86"/>
      <c r="L29" s="86"/>
      <c r="M29" s="86"/>
      <c r="N29" s="86"/>
      <c r="O29" s="86"/>
      <c r="P29" s="86"/>
      <c r="Q29" s="86"/>
      <c r="R29" s="86"/>
      <c r="S29" s="86"/>
      <c r="T29" s="86"/>
      <c r="U29" s="86"/>
      <c r="V29" s="86"/>
      <c r="W29" s="75"/>
      <c r="X29" s="75"/>
    </row>
    <row r="30" spans="2:24" ht="15" x14ac:dyDescent="0.25">
      <c r="B30" s="71" t="s">
        <v>560</v>
      </c>
    </row>
    <row r="31" spans="2:24" ht="15" x14ac:dyDescent="0.25">
      <c r="B31" s="71"/>
    </row>
    <row r="32" spans="2:24" x14ac:dyDescent="0.2">
      <c r="B32" s="258" t="s">
        <v>558</v>
      </c>
      <c r="C32" s="258"/>
      <c r="D32" s="257" t="s">
        <v>42</v>
      </c>
      <c r="E32" s="257"/>
      <c r="F32" s="257"/>
    </row>
    <row r="34" spans="1:34" ht="15" x14ac:dyDescent="0.25">
      <c r="A34" s="71" t="s">
        <v>40</v>
      </c>
      <c r="B34" s="71"/>
    </row>
    <row r="35" spans="1:34" x14ac:dyDescent="0.2">
      <c r="B35" s="87" t="s">
        <v>557</v>
      </c>
    </row>
    <row r="36" spans="1:34" ht="15" thickBot="1" x14ac:dyDescent="0.25"/>
    <row r="37" spans="1:34" ht="15.75" thickBot="1" x14ac:dyDescent="0.3">
      <c r="B37" s="247" t="s">
        <v>568</v>
      </c>
      <c r="C37" s="248"/>
      <c r="D37" s="248"/>
      <c r="E37" s="248"/>
      <c r="F37" s="248"/>
      <c r="G37" s="248"/>
      <c r="H37" s="249"/>
      <c r="I37" s="247" t="s">
        <v>569</v>
      </c>
      <c r="J37" s="248"/>
      <c r="K37" s="248"/>
      <c r="L37" s="248"/>
      <c r="M37" s="248"/>
      <c r="N37" s="248"/>
      <c r="O37" s="248"/>
      <c r="P37" s="248"/>
      <c r="Q37" s="248"/>
      <c r="R37" s="248"/>
      <c r="S37" s="248"/>
      <c r="T37" s="248"/>
      <c r="U37" s="248"/>
      <c r="V37" s="248"/>
      <c r="W37" s="249"/>
    </row>
    <row r="38" spans="1:34" ht="22.15" customHeight="1" x14ac:dyDescent="0.2">
      <c r="B38" s="88"/>
      <c r="C38" s="82"/>
      <c r="D38" s="82"/>
      <c r="E38" s="82"/>
      <c r="F38" s="82"/>
      <c r="G38" s="82"/>
      <c r="H38" s="89"/>
      <c r="I38" s="88"/>
      <c r="J38" s="82"/>
      <c r="K38" s="82"/>
      <c r="L38" s="82"/>
      <c r="M38" s="82"/>
      <c r="N38" s="82"/>
      <c r="O38" s="82"/>
      <c r="P38" s="82"/>
      <c r="Q38" s="82"/>
      <c r="R38" s="82"/>
      <c r="S38" s="82"/>
      <c r="T38" s="82"/>
      <c r="U38" s="82"/>
      <c r="V38" s="82"/>
      <c r="W38" s="90"/>
    </row>
    <row r="39" spans="1:34" ht="25.15" customHeight="1" x14ac:dyDescent="0.2">
      <c r="B39" s="91" t="s">
        <v>34</v>
      </c>
      <c r="C39" s="82"/>
      <c r="D39" s="82"/>
      <c r="E39" s="82"/>
      <c r="F39" s="82"/>
      <c r="G39" s="15" t="s">
        <v>461</v>
      </c>
      <c r="H39" s="89"/>
      <c r="I39" s="256" t="s">
        <v>714</v>
      </c>
      <c r="J39" s="241"/>
      <c r="K39" s="241"/>
      <c r="L39" s="241"/>
      <c r="M39" s="241"/>
      <c r="N39" s="241"/>
      <c r="O39" s="241"/>
      <c r="P39" s="241"/>
      <c r="Q39" s="241"/>
      <c r="R39" s="241"/>
      <c r="S39" s="241"/>
      <c r="T39" s="241"/>
      <c r="U39" s="241"/>
      <c r="V39" s="241"/>
      <c r="W39" s="90"/>
    </row>
    <row r="40" spans="1:34" ht="19.899999999999999" customHeight="1" x14ac:dyDescent="0.2">
      <c r="B40" s="88"/>
      <c r="C40" s="82"/>
      <c r="D40" s="82"/>
      <c r="E40" s="82"/>
      <c r="F40" s="82"/>
      <c r="G40" s="82"/>
      <c r="H40" s="89"/>
      <c r="I40" s="256"/>
      <c r="J40" s="241"/>
      <c r="K40" s="241"/>
      <c r="L40" s="241"/>
      <c r="M40" s="241"/>
      <c r="N40" s="241"/>
      <c r="O40" s="241"/>
      <c r="P40" s="241"/>
      <c r="Q40" s="241"/>
      <c r="R40" s="241"/>
      <c r="S40" s="241"/>
      <c r="T40" s="241"/>
      <c r="U40" s="241"/>
      <c r="V40" s="241"/>
      <c r="W40" s="90"/>
    </row>
    <row r="41" spans="1:34" ht="19.899999999999999" customHeight="1" x14ac:dyDescent="0.2">
      <c r="B41" s="88" t="s">
        <v>35</v>
      </c>
      <c r="C41" s="82"/>
      <c r="D41" s="82"/>
      <c r="E41" s="82"/>
      <c r="F41" s="82"/>
      <c r="G41" s="15" t="s">
        <v>463</v>
      </c>
      <c r="H41" s="89"/>
      <c r="I41" s="256"/>
      <c r="J41" s="241"/>
      <c r="K41" s="241"/>
      <c r="L41" s="241"/>
      <c r="M41" s="241"/>
      <c r="N41" s="241"/>
      <c r="O41" s="241"/>
      <c r="P41" s="241"/>
      <c r="Q41" s="241"/>
      <c r="R41" s="241"/>
      <c r="S41" s="241"/>
      <c r="T41" s="241"/>
      <c r="U41" s="241"/>
      <c r="V41" s="241"/>
      <c r="W41" s="90"/>
    </row>
    <row r="42" spans="1:34" ht="19.899999999999999" customHeight="1" x14ac:dyDescent="0.2">
      <c r="B42" s="88"/>
      <c r="C42" s="82"/>
      <c r="D42" s="82"/>
      <c r="E42" s="82"/>
      <c r="F42" s="82"/>
      <c r="G42" s="82"/>
      <c r="H42" s="89"/>
      <c r="I42" s="256"/>
      <c r="J42" s="241"/>
      <c r="K42" s="241"/>
      <c r="L42" s="241"/>
      <c r="M42" s="241"/>
      <c r="N42" s="241"/>
      <c r="O42" s="241"/>
      <c r="P42" s="241"/>
      <c r="Q42" s="241"/>
      <c r="R42" s="241"/>
      <c r="S42" s="241"/>
      <c r="T42" s="241"/>
      <c r="U42" s="241"/>
      <c r="V42" s="241"/>
      <c r="W42" s="92"/>
      <c r="X42" s="93"/>
      <c r="Z42" s="93"/>
      <c r="AA42" s="93"/>
      <c r="AB42" s="93"/>
      <c r="AC42" s="93"/>
      <c r="AD42" s="93"/>
      <c r="AE42" s="93"/>
      <c r="AF42" s="93"/>
      <c r="AG42" s="93"/>
      <c r="AH42" s="93"/>
    </row>
    <row r="43" spans="1:34" ht="19.899999999999999" customHeight="1" x14ac:dyDescent="0.2">
      <c r="B43" s="88" t="s">
        <v>37</v>
      </c>
      <c r="C43" s="82"/>
      <c r="D43" s="82"/>
      <c r="E43" s="82"/>
      <c r="F43" s="82"/>
      <c r="G43" s="15" t="s">
        <v>463</v>
      </c>
      <c r="H43" s="89"/>
      <c r="I43" s="256"/>
      <c r="J43" s="241"/>
      <c r="K43" s="241"/>
      <c r="L43" s="241"/>
      <c r="M43" s="241"/>
      <c r="N43" s="241"/>
      <c r="O43" s="241"/>
      <c r="P43" s="241"/>
      <c r="Q43" s="241"/>
      <c r="R43" s="241"/>
      <c r="S43" s="241"/>
      <c r="T43" s="241"/>
      <c r="U43" s="241"/>
      <c r="V43" s="241"/>
      <c r="W43" s="92"/>
      <c r="X43" s="93"/>
      <c r="Z43" s="93"/>
      <c r="AA43" s="93"/>
      <c r="AB43" s="93"/>
      <c r="AC43" s="93"/>
      <c r="AD43" s="93"/>
      <c r="AE43" s="93"/>
      <c r="AF43" s="93"/>
      <c r="AG43" s="93"/>
      <c r="AH43" s="93"/>
    </row>
    <row r="44" spans="1:34" ht="19.899999999999999" customHeight="1" x14ac:dyDescent="0.2">
      <c r="B44" s="88"/>
      <c r="C44" s="82"/>
      <c r="D44" s="82"/>
      <c r="E44" s="82"/>
      <c r="F44" s="82"/>
      <c r="G44" s="82"/>
      <c r="H44" s="89"/>
      <c r="W44" s="92"/>
      <c r="X44" s="93"/>
      <c r="Z44" s="93"/>
      <c r="AA44" s="93"/>
      <c r="AB44" s="93"/>
      <c r="AC44" s="93"/>
      <c r="AD44" s="93"/>
      <c r="AE44" s="93"/>
      <c r="AF44" s="93"/>
      <c r="AG44" s="93"/>
      <c r="AH44" s="93"/>
    </row>
    <row r="45" spans="1:34" ht="19.899999999999999" customHeight="1" x14ac:dyDescent="0.2">
      <c r="B45" s="88" t="s">
        <v>44</v>
      </c>
      <c r="C45" s="82"/>
      <c r="D45" s="82"/>
      <c r="E45" s="82"/>
      <c r="F45" s="82"/>
      <c r="G45" s="15" t="s">
        <v>463</v>
      </c>
      <c r="H45" s="89"/>
      <c r="I45" s="88"/>
      <c r="J45" s="82"/>
      <c r="K45" s="82"/>
      <c r="L45" s="82"/>
      <c r="M45" s="82"/>
      <c r="N45" s="82"/>
      <c r="O45" s="82"/>
      <c r="P45" s="82"/>
      <c r="Q45" s="82"/>
      <c r="R45" s="82"/>
      <c r="S45" s="82"/>
      <c r="T45" s="82"/>
      <c r="U45" s="82"/>
      <c r="V45" s="82"/>
      <c r="W45" s="92"/>
      <c r="X45" s="93"/>
      <c r="Z45" s="93"/>
      <c r="AA45" s="93"/>
      <c r="AB45" s="93"/>
      <c r="AC45" s="93"/>
      <c r="AD45" s="93"/>
      <c r="AE45" s="93"/>
      <c r="AF45" s="93"/>
      <c r="AG45" s="93"/>
      <c r="AH45" s="93"/>
    </row>
    <row r="46" spans="1:34" ht="19.899999999999999" customHeight="1" x14ac:dyDescent="0.2">
      <c r="B46" s="88"/>
      <c r="C46" s="82"/>
      <c r="D46" s="82"/>
      <c r="E46" s="82"/>
      <c r="F46" s="82"/>
      <c r="G46" s="82"/>
      <c r="H46" s="89"/>
      <c r="I46" s="252"/>
      <c r="J46" s="253"/>
      <c r="K46" s="253"/>
      <c r="L46" s="253"/>
      <c r="M46" s="253"/>
      <c r="N46" s="253"/>
      <c r="O46" s="253"/>
      <c r="P46" s="253"/>
      <c r="Q46" s="253"/>
      <c r="R46" s="253"/>
      <c r="S46" s="253"/>
      <c r="T46" s="253"/>
      <c r="U46" s="253"/>
      <c r="V46" s="253"/>
      <c r="W46" s="254"/>
      <c r="X46" s="93"/>
      <c r="Z46" s="93"/>
      <c r="AA46" s="93"/>
      <c r="AB46" s="93"/>
      <c r="AC46" s="93"/>
      <c r="AD46" s="93"/>
      <c r="AE46" s="93"/>
      <c r="AF46" s="93"/>
      <c r="AG46" s="93"/>
      <c r="AH46" s="93"/>
    </row>
    <row r="47" spans="1:34" ht="19.899999999999999" customHeight="1" x14ac:dyDescent="0.2">
      <c r="B47" s="88" t="s">
        <v>38</v>
      </c>
      <c r="C47" s="82"/>
      <c r="D47" s="82"/>
      <c r="E47" s="82"/>
      <c r="F47" s="82"/>
      <c r="G47" s="15" t="s">
        <v>461</v>
      </c>
      <c r="H47" s="89"/>
      <c r="I47" s="88"/>
      <c r="J47" s="82"/>
      <c r="K47" s="82"/>
      <c r="L47" s="82"/>
      <c r="M47" s="82"/>
      <c r="N47" s="82"/>
      <c r="O47" s="82"/>
      <c r="P47" s="82"/>
      <c r="Q47" s="82"/>
      <c r="R47" s="82"/>
      <c r="S47" s="82"/>
      <c r="T47" s="82"/>
      <c r="U47" s="82"/>
      <c r="V47" s="82"/>
      <c r="W47" s="90"/>
    </row>
    <row r="48" spans="1:34" ht="19.899999999999999" customHeight="1" x14ac:dyDescent="0.2">
      <c r="B48" s="267" t="s">
        <v>572</v>
      </c>
      <c r="C48" s="268"/>
      <c r="D48" s="268"/>
      <c r="E48" s="268"/>
      <c r="F48" s="268"/>
      <c r="G48" s="82"/>
      <c r="H48" s="89"/>
      <c r="I48" s="269" t="s">
        <v>735</v>
      </c>
      <c r="J48" s="270"/>
      <c r="K48" s="270"/>
      <c r="L48" s="270"/>
      <c r="M48" s="270"/>
      <c r="N48" s="270"/>
      <c r="O48" s="270"/>
      <c r="P48" s="270"/>
      <c r="Q48" s="270"/>
      <c r="R48" s="270"/>
      <c r="S48" s="270"/>
      <c r="T48" s="270"/>
      <c r="U48" s="270"/>
      <c r="V48" s="270"/>
      <c r="W48" s="90"/>
    </row>
    <row r="49" spans="2:23" ht="19.899999999999999" customHeight="1" x14ac:dyDescent="0.2">
      <c r="B49" s="267"/>
      <c r="C49" s="268"/>
      <c r="D49" s="268"/>
      <c r="E49" s="268"/>
      <c r="F49" s="268"/>
      <c r="G49" s="82"/>
      <c r="H49" s="89"/>
      <c r="I49" s="269"/>
      <c r="J49" s="270"/>
      <c r="K49" s="270"/>
      <c r="L49" s="270"/>
      <c r="M49" s="270"/>
      <c r="N49" s="270"/>
      <c r="O49" s="270"/>
      <c r="P49" s="270"/>
      <c r="Q49" s="270"/>
      <c r="R49" s="270"/>
      <c r="S49" s="270"/>
      <c r="T49" s="270"/>
      <c r="U49" s="270"/>
      <c r="V49" s="270"/>
      <c r="W49" s="90"/>
    </row>
    <row r="50" spans="2:23" ht="27" customHeight="1" x14ac:dyDescent="0.2">
      <c r="B50" s="193" t="s">
        <v>734</v>
      </c>
      <c r="C50" s="195"/>
      <c r="D50" s="195"/>
      <c r="E50" s="195"/>
      <c r="F50" s="82"/>
      <c r="G50" s="15" t="s">
        <v>731</v>
      </c>
      <c r="H50" s="89"/>
      <c r="I50" s="269"/>
      <c r="J50" s="270"/>
      <c r="K50" s="270"/>
      <c r="L50" s="270"/>
      <c r="M50" s="270"/>
      <c r="N50" s="270"/>
      <c r="O50" s="270"/>
      <c r="P50" s="270"/>
      <c r="Q50" s="270"/>
      <c r="R50" s="270"/>
      <c r="S50" s="270"/>
      <c r="T50" s="270"/>
      <c r="U50" s="270"/>
      <c r="V50" s="270"/>
      <c r="W50" s="90"/>
    </row>
    <row r="51" spans="2:23" ht="19.899999999999999" customHeight="1" x14ac:dyDescent="0.2">
      <c r="B51" s="194"/>
      <c r="C51" s="195"/>
      <c r="D51" s="195"/>
      <c r="E51" s="195"/>
      <c r="F51" s="82"/>
      <c r="G51" s="82"/>
      <c r="H51" s="89"/>
      <c r="I51" s="88"/>
      <c r="J51" s="82"/>
      <c r="K51" s="82"/>
      <c r="L51" s="82"/>
      <c r="M51" s="82"/>
      <c r="N51" s="82"/>
      <c r="O51" s="82"/>
      <c r="P51" s="82"/>
      <c r="Q51" s="82"/>
      <c r="R51" s="82"/>
      <c r="S51" s="82"/>
      <c r="T51" s="82"/>
      <c r="U51" s="82"/>
      <c r="V51" s="82"/>
      <c r="W51" s="90"/>
    </row>
    <row r="52" spans="2:23" ht="19.899999999999999" customHeight="1" x14ac:dyDescent="0.2">
      <c r="B52" s="88" t="s">
        <v>36</v>
      </c>
      <c r="C52" s="82"/>
      <c r="D52" s="82"/>
      <c r="E52" s="82"/>
      <c r="F52" s="82"/>
      <c r="G52" s="15" t="s">
        <v>461</v>
      </c>
      <c r="H52" s="89"/>
      <c r="I52" s="88"/>
      <c r="J52" s="82"/>
      <c r="K52" s="82"/>
      <c r="L52" s="82"/>
      <c r="M52" s="82"/>
      <c r="N52" s="82"/>
      <c r="O52" s="82"/>
      <c r="P52" s="82"/>
      <c r="Q52" s="82"/>
      <c r="R52" s="82"/>
      <c r="S52" s="82"/>
      <c r="T52" s="82"/>
      <c r="U52" s="82"/>
      <c r="V52" s="82"/>
      <c r="W52" s="90"/>
    </row>
    <row r="53" spans="2:23" ht="19.899999999999999" customHeight="1" x14ac:dyDescent="0.2">
      <c r="B53" s="88"/>
      <c r="C53" s="82"/>
      <c r="D53" s="82"/>
      <c r="E53" s="82"/>
      <c r="F53" s="82"/>
      <c r="G53" s="82"/>
      <c r="H53" s="89"/>
      <c r="I53" s="88"/>
      <c r="J53" s="82"/>
      <c r="K53" s="82"/>
      <c r="L53" s="82"/>
      <c r="M53" s="82"/>
      <c r="N53" s="82"/>
      <c r="O53" s="82"/>
      <c r="P53" s="82"/>
      <c r="Q53" s="82"/>
      <c r="R53" s="82"/>
      <c r="S53" s="82"/>
      <c r="T53" s="82"/>
      <c r="U53" s="82"/>
      <c r="V53" s="82"/>
      <c r="W53" s="90"/>
    </row>
    <row r="54" spans="2:23" ht="19.899999999999999" customHeight="1" x14ac:dyDescent="0.2">
      <c r="B54" s="88" t="s">
        <v>478</v>
      </c>
      <c r="C54" s="82"/>
      <c r="D54" s="82"/>
      <c r="E54" s="82"/>
      <c r="F54" s="82"/>
      <c r="G54" s="15" t="s">
        <v>461</v>
      </c>
      <c r="H54" s="89"/>
      <c r="I54" s="88" t="s">
        <v>729</v>
      </c>
      <c r="J54" s="82"/>
      <c r="K54" s="82"/>
      <c r="L54" s="82"/>
      <c r="M54" s="82"/>
      <c r="N54" s="82"/>
      <c r="O54" s="82"/>
      <c r="P54" s="82"/>
      <c r="Q54" s="82"/>
      <c r="R54" s="82"/>
      <c r="S54" s="82"/>
      <c r="T54" s="82"/>
      <c r="U54" s="82"/>
      <c r="V54" s="82"/>
      <c r="W54" s="90"/>
    </row>
    <row r="55" spans="2:23" ht="19.899999999999999" customHeight="1" x14ac:dyDescent="0.2">
      <c r="B55" s="88"/>
      <c r="C55" s="82"/>
      <c r="D55" s="82"/>
      <c r="E55" s="82"/>
      <c r="F55" s="82"/>
      <c r="G55" s="82"/>
      <c r="H55" s="89"/>
      <c r="I55" s="88"/>
      <c r="J55" s="82"/>
      <c r="K55" s="82"/>
      <c r="L55" s="82"/>
      <c r="M55" s="82"/>
      <c r="N55" s="82"/>
      <c r="O55" s="82"/>
      <c r="P55" s="82"/>
      <c r="Q55" s="82"/>
      <c r="R55" s="82"/>
      <c r="S55" s="82"/>
      <c r="T55" s="82"/>
      <c r="U55" s="82"/>
      <c r="V55" s="82"/>
      <c r="W55" s="90"/>
    </row>
    <row r="56" spans="2:23" ht="19.899999999999999" customHeight="1" x14ac:dyDescent="0.2">
      <c r="B56" s="94" t="s">
        <v>562</v>
      </c>
      <c r="C56" s="95"/>
      <c r="D56" s="95"/>
      <c r="E56" s="95"/>
      <c r="F56" s="96"/>
      <c r="G56" s="15" t="s">
        <v>461</v>
      </c>
      <c r="H56" s="90"/>
      <c r="I56" s="88" t="s">
        <v>464</v>
      </c>
      <c r="J56" s="82"/>
      <c r="K56" s="82"/>
      <c r="L56" s="82"/>
      <c r="M56" s="82"/>
      <c r="N56" s="82"/>
      <c r="O56" s="82"/>
      <c r="P56" s="82"/>
      <c r="Q56" s="82"/>
      <c r="R56" s="82"/>
      <c r="S56" s="82"/>
      <c r="T56" s="82"/>
      <c r="U56" s="82"/>
      <c r="V56" s="82"/>
      <c r="W56" s="90"/>
    </row>
    <row r="57" spans="2:23" ht="19.899999999999999" customHeight="1" x14ac:dyDescent="0.2">
      <c r="B57" s="94" t="s">
        <v>563</v>
      </c>
      <c r="C57" s="97"/>
      <c r="D57" s="97"/>
      <c r="E57" s="97"/>
      <c r="F57" s="97"/>
      <c r="G57" s="97"/>
      <c r="H57" s="89"/>
      <c r="I57" s="88"/>
      <c r="J57" s="82"/>
      <c r="K57" s="82"/>
      <c r="L57" s="82"/>
      <c r="M57" s="82"/>
      <c r="N57" s="82"/>
      <c r="O57" s="82"/>
      <c r="P57" s="82"/>
      <c r="Q57" s="82"/>
      <c r="R57" s="82"/>
      <c r="S57" s="82"/>
      <c r="T57" s="82"/>
      <c r="U57" s="82"/>
      <c r="V57" s="82"/>
      <c r="W57" s="90"/>
    </row>
    <row r="58" spans="2:23" ht="19.899999999999999" customHeight="1" x14ac:dyDescent="0.2">
      <c r="B58" s="98" t="s">
        <v>564</v>
      </c>
      <c r="C58" s="97"/>
      <c r="D58" s="97"/>
      <c r="E58" s="97"/>
      <c r="F58" s="97"/>
      <c r="G58" s="97"/>
      <c r="H58" s="89"/>
      <c r="I58" s="88"/>
      <c r="J58" s="82"/>
      <c r="K58" s="82"/>
      <c r="L58" s="82"/>
      <c r="M58" s="82"/>
      <c r="N58" s="82"/>
      <c r="O58" s="82"/>
      <c r="P58" s="82"/>
      <c r="Q58" s="82"/>
      <c r="R58" s="82"/>
      <c r="S58" s="82"/>
      <c r="T58" s="82"/>
      <c r="U58" s="82"/>
      <c r="V58" s="82"/>
      <c r="W58" s="90"/>
    </row>
    <row r="59" spans="2:23" ht="19.899999999999999" customHeight="1" x14ac:dyDescent="0.2">
      <c r="B59" s="98" t="s">
        <v>565</v>
      </c>
      <c r="C59" s="97"/>
      <c r="D59" s="97"/>
      <c r="E59" s="97"/>
      <c r="F59" s="97"/>
      <c r="G59" s="97"/>
      <c r="H59" s="89"/>
      <c r="I59" s="88"/>
      <c r="J59" s="82"/>
      <c r="K59" s="82"/>
      <c r="L59" s="82"/>
      <c r="M59" s="82"/>
      <c r="N59" s="82"/>
      <c r="O59" s="82"/>
      <c r="P59" s="82"/>
      <c r="Q59" s="82"/>
      <c r="R59" s="82"/>
      <c r="S59" s="82"/>
      <c r="T59" s="82"/>
      <c r="U59" s="82"/>
      <c r="V59" s="82"/>
      <c r="W59" s="90"/>
    </row>
    <row r="60" spans="2:23" ht="19.899999999999999" customHeight="1" x14ac:dyDescent="0.2">
      <c r="B60" s="99"/>
      <c r="C60" s="97"/>
      <c r="D60" s="97"/>
      <c r="E60" s="97"/>
      <c r="F60" s="97"/>
      <c r="G60" s="97"/>
      <c r="H60" s="89"/>
      <c r="I60" s="88"/>
      <c r="J60" s="82"/>
      <c r="K60" s="82"/>
      <c r="L60" s="82"/>
      <c r="M60" s="82"/>
      <c r="N60" s="82"/>
      <c r="O60" s="82"/>
      <c r="P60" s="82"/>
      <c r="Q60" s="82"/>
      <c r="R60" s="82"/>
      <c r="S60" s="82"/>
      <c r="T60" s="82"/>
      <c r="U60" s="82"/>
      <c r="V60" s="82"/>
      <c r="W60" s="90"/>
    </row>
    <row r="61" spans="2:23" ht="19.899999999999999" customHeight="1" x14ac:dyDescent="0.2">
      <c r="B61" s="245" t="s">
        <v>512</v>
      </c>
      <c r="C61" s="246"/>
      <c r="D61" s="246"/>
      <c r="E61" s="246"/>
      <c r="F61" s="246"/>
      <c r="G61" s="246"/>
      <c r="H61" s="100"/>
      <c r="I61" s="88"/>
      <c r="J61" s="82"/>
      <c r="K61" s="82"/>
      <c r="L61" s="82"/>
      <c r="M61" s="82"/>
      <c r="N61" s="82"/>
      <c r="O61" s="82"/>
      <c r="P61" s="82"/>
      <c r="Q61" s="82"/>
      <c r="R61" s="82"/>
      <c r="S61" s="82"/>
      <c r="T61" s="82"/>
      <c r="U61" s="82"/>
      <c r="V61" s="82"/>
      <c r="W61" s="90"/>
    </row>
    <row r="62" spans="2:23" ht="39" customHeight="1" x14ac:dyDescent="0.2">
      <c r="B62" s="245"/>
      <c r="C62" s="246"/>
      <c r="D62" s="246"/>
      <c r="E62" s="246"/>
      <c r="F62" s="246"/>
      <c r="G62" s="246"/>
      <c r="H62" s="100"/>
      <c r="I62" s="88"/>
      <c r="J62" s="82"/>
      <c r="K62" s="82"/>
      <c r="L62" s="82"/>
      <c r="M62" s="82"/>
      <c r="N62" s="82"/>
      <c r="O62" s="82"/>
      <c r="P62" s="82"/>
      <c r="Q62" s="82"/>
      <c r="R62" s="82"/>
      <c r="S62" s="82"/>
      <c r="T62" s="82"/>
      <c r="U62" s="82"/>
      <c r="V62" s="82"/>
      <c r="W62" s="90"/>
    </row>
    <row r="63" spans="2:23" ht="19.899999999999999" customHeight="1" x14ac:dyDescent="0.2">
      <c r="B63" s="98"/>
      <c r="C63" s="101"/>
      <c r="D63" s="101"/>
      <c r="E63" s="101"/>
      <c r="F63" s="101"/>
      <c r="G63" s="101"/>
      <c r="H63" s="100"/>
      <c r="I63" s="88"/>
      <c r="J63" s="82"/>
      <c r="K63" s="82"/>
      <c r="L63" s="82"/>
      <c r="M63" s="82"/>
      <c r="N63" s="82"/>
      <c r="O63" s="82"/>
      <c r="P63" s="82"/>
      <c r="Q63" s="82"/>
      <c r="R63" s="82"/>
      <c r="S63" s="82"/>
      <c r="T63" s="82"/>
      <c r="U63" s="82"/>
      <c r="V63" s="82"/>
      <c r="W63" s="90"/>
    </row>
    <row r="64" spans="2:23" ht="19.899999999999999" customHeight="1" x14ac:dyDescent="0.2">
      <c r="B64" s="98"/>
      <c r="C64" s="242" t="s">
        <v>745</v>
      </c>
      <c r="D64" s="243"/>
      <c r="E64" s="243"/>
      <c r="F64" s="243"/>
      <c r="G64" s="243"/>
      <c r="H64" s="100"/>
      <c r="I64" s="88"/>
      <c r="J64" s="82"/>
      <c r="K64" s="82"/>
      <c r="L64" s="82"/>
      <c r="M64" s="82"/>
      <c r="N64" s="82"/>
      <c r="O64" s="82"/>
      <c r="P64" s="82"/>
      <c r="Q64" s="82"/>
      <c r="R64" s="82"/>
      <c r="S64" s="82"/>
      <c r="T64" s="82"/>
      <c r="U64" s="82"/>
      <c r="V64" s="82"/>
      <c r="W64" s="90"/>
    </row>
    <row r="65" spans="1:23" ht="19.899999999999999" customHeight="1" x14ac:dyDescent="0.2">
      <c r="B65" s="98"/>
      <c r="C65" s="243"/>
      <c r="D65" s="243"/>
      <c r="E65" s="243"/>
      <c r="F65" s="243"/>
      <c r="G65" s="243"/>
      <c r="H65" s="100"/>
      <c r="I65" s="88"/>
      <c r="J65" s="82"/>
      <c r="K65" s="82"/>
      <c r="L65" s="82"/>
      <c r="M65" s="82"/>
      <c r="N65" s="82"/>
      <c r="O65" s="82"/>
      <c r="P65" s="82"/>
      <c r="Q65" s="82"/>
      <c r="R65" s="82"/>
      <c r="S65" s="82"/>
      <c r="T65" s="82"/>
      <c r="U65" s="82"/>
      <c r="V65" s="82"/>
      <c r="W65" s="90"/>
    </row>
    <row r="66" spans="1:23" ht="19.899999999999999" customHeight="1" x14ac:dyDescent="0.2">
      <c r="B66" s="98"/>
      <c r="C66" s="243"/>
      <c r="D66" s="243"/>
      <c r="E66" s="243"/>
      <c r="F66" s="243"/>
      <c r="G66" s="243"/>
      <c r="H66" s="100"/>
      <c r="I66" s="88"/>
      <c r="J66" s="82"/>
      <c r="K66" s="82"/>
      <c r="L66" s="82"/>
      <c r="M66" s="82"/>
      <c r="N66" s="82"/>
      <c r="O66" s="82"/>
      <c r="P66" s="82"/>
      <c r="Q66" s="82"/>
      <c r="R66" s="82"/>
      <c r="S66" s="82"/>
      <c r="T66" s="82"/>
      <c r="U66" s="82"/>
      <c r="V66" s="82"/>
      <c r="W66" s="90"/>
    </row>
    <row r="67" spans="1:23" ht="19.899999999999999" customHeight="1" x14ac:dyDescent="0.2">
      <c r="B67" s="98"/>
      <c r="C67" s="243"/>
      <c r="D67" s="243"/>
      <c r="E67" s="243"/>
      <c r="F67" s="243"/>
      <c r="G67" s="243"/>
      <c r="H67" s="100"/>
      <c r="I67" s="88"/>
      <c r="J67" s="82"/>
      <c r="K67" s="82"/>
      <c r="L67" s="82"/>
      <c r="M67" s="82"/>
      <c r="N67" s="82"/>
      <c r="O67" s="82"/>
      <c r="P67" s="82"/>
      <c r="Q67" s="82"/>
      <c r="R67" s="82"/>
      <c r="S67" s="82"/>
      <c r="T67" s="82"/>
      <c r="U67" s="82"/>
      <c r="V67" s="82"/>
      <c r="W67" s="90"/>
    </row>
    <row r="68" spans="1:23" ht="19.899999999999999" customHeight="1" x14ac:dyDescent="0.2">
      <c r="B68" s="98"/>
      <c r="C68" s="243"/>
      <c r="D68" s="243"/>
      <c r="E68" s="243"/>
      <c r="F68" s="243"/>
      <c r="G68" s="243"/>
      <c r="H68" s="100"/>
      <c r="I68" s="88"/>
      <c r="J68" s="82"/>
      <c r="K68" s="82"/>
      <c r="L68" s="82"/>
      <c r="M68" s="82"/>
      <c r="N68" s="82"/>
      <c r="O68" s="82"/>
      <c r="P68" s="82"/>
      <c r="Q68" s="82"/>
      <c r="R68" s="82"/>
      <c r="S68" s="82"/>
      <c r="T68" s="82"/>
      <c r="U68" s="82"/>
      <c r="V68" s="82"/>
      <c r="W68" s="90"/>
    </row>
    <row r="69" spans="1:23" ht="19.899999999999999" customHeight="1" x14ac:dyDescent="0.2">
      <c r="B69" s="98"/>
      <c r="C69" s="243"/>
      <c r="D69" s="243"/>
      <c r="E69" s="243"/>
      <c r="F69" s="243"/>
      <c r="G69" s="243"/>
      <c r="H69" s="100"/>
      <c r="I69" s="88"/>
      <c r="J69" s="82"/>
      <c r="K69" s="82"/>
      <c r="L69" s="82"/>
      <c r="M69" s="82"/>
      <c r="N69" s="82"/>
      <c r="O69" s="82"/>
      <c r="P69" s="82"/>
      <c r="Q69" s="82"/>
      <c r="R69" s="82"/>
      <c r="S69" s="82"/>
      <c r="T69" s="82"/>
      <c r="U69" s="82"/>
      <c r="V69" s="82"/>
      <c r="W69" s="90"/>
    </row>
    <row r="70" spans="1:23" ht="19.899999999999999" customHeight="1" x14ac:dyDescent="0.2">
      <c r="B70" s="98"/>
      <c r="C70" s="243"/>
      <c r="D70" s="243"/>
      <c r="E70" s="243"/>
      <c r="F70" s="243"/>
      <c r="G70" s="243"/>
      <c r="H70" s="100"/>
      <c r="I70" s="88"/>
      <c r="J70" s="82"/>
      <c r="K70" s="82"/>
      <c r="L70" s="82"/>
      <c r="M70" s="82"/>
      <c r="N70" s="82"/>
      <c r="O70" s="82"/>
      <c r="P70" s="82"/>
      <c r="Q70" s="82"/>
      <c r="R70" s="82"/>
      <c r="S70" s="82"/>
      <c r="T70" s="82"/>
      <c r="U70" s="82"/>
      <c r="V70" s="82"/>
      <c r="W70" s="90"/>
    </row>
    <row r="71" spans="1:23" ht="19.899999999999999" customHeight="1" x14ac:dyDescent="0.2">
      <c r="B71" s="98"/>
      <c r="C71" s="243"/>
      <c r="D71" s="243"/>
      <c r="E71" s="243"/>
      <c r="F71" s="243"/>
      <c r="G71" s="243"/>
      <c r="H71" s="100"/>
      <c r="I71" s="88"/>
      <c r="J71" s="82"/>
      <c r="K71" s="82"/>
      <c r="L71" s="82"/>
      <c r="M71" s="82"/>
      <c r="N71" s="82"/>
      <c r="O71" s="82"/>
      <c r="P71" s="82"/>
      <c r="Q71" s="82"/>
      <c r="R71" s="82"/>
      <c r="S71" s="82"/>
      <c r="T71" s="82"/>
      <c r="U71" s="82"/>
      <c r="V71" s="82"/>
      <c r="W71" s="90"/>
    </row>
    <row r="72" spans="1:23" ht="19.899999999999999" customHeight="1" thickBot="1" x14ac:dyDescent="0.25">
      <c r="B72" s="102"/>
      <c r="C72" s="103"/>
      <c r="D72" s="103"/>
      <c r="E72" s="103"/>
      <c r="F72" s="103"/>
      <c r="G72" s="103"/>
      <c r="H72" s="104"/>
      <c r="I72" s="105"/>
      <c r="J72" s="106"/>
      <c r="K72" s="106"/>
      <c r="L72" s="106"/>
      <c r="M72" s="106"/>
      <c r="N72" s="106"/>
      <c r="O72" s="106"/>
      <c r="P72" s="106"/>
      <c r="Q72" s="106"/>
      <c r="R72" s="106"/>
      <c r="S72" s="106"/>
      <c r="T72" s="106"/>
      <c r="U72" s="106"/>
      <c r="V72" s="106"/>
      <c r="W72" s="107"/>
    </row>
    <row r="75" spans="1:23" ht="15" x14ac:dyDescent="0.25">
      <c r="A75" s="71" t="s">
        <v>39</v>
      </c>
      <c r="B75" s="71"/>
    </row>
    <row r="76" spans="1:23" x14ac:dyDescent="0.2">
      <c r="B76" s="108" t="s">
        <v>559</v>
      </c>
    </row>
    <row r="77" spans="1:23" x14ac:dyDescent="0.2">
      <c r="B77" s="108"/>
    </row>
    <row r="78" spans="1:23" ht="13.9" customHeight="1" x14ac:dyDescent="0.2">
      <c r="B78" s="266" t="s">
        <v>716</v>
      </c>
      <c r="C78" s="266"/>
      <c r="D78" s="266"/>
      <c r="E78" s="266"/>
      <c r="F78" s="266"/>
      <c r="G78" s="266"/>
      <c r="H78" s="266"/>
      <c r="I78" s="266"/>
      <c r="J78" s="266"/>
      <c r="K78" s="266"/>
      <c r="L78" s="266"/>
      <c r="M78" s="266"/>
      <c r="N78"/>
      <c r="O78"/>
      <c r="P78"/>
      <c r="Q78"/>
      <c r="R78"/>
      <c r="S78"/>
      <c r="T78"/>
      <c r="U78"/>
      <c r="V78"/>
      <c r="W78"/>
    </row>
    <row r="79" spans="1:23" x14ac:dyDescent="0.2">
      <c r="B79" s="266"/>
      <c r="C79" s="266"/>
      <c r="D79" s="266"/>
      <c r="E79" s="266"/>
      <c r="F79" s="266"/>
      <c r="G79" s="266"/>
      <c r="H79" s="266"/>
      <c r="I79" s="266"/>
      <c r="J79" s="266"/>
      <c r="K79" s="266"/>
      <c r="L79" s="266"/>
      <c r="M79" s="266"/>
      <c r="N79"/>
      <c r="O79"/>
      <c r="P79"/>
      <c r="Q79"/>
      <c r="R79"/>
      <c r="S79"/>
      <c r="T79"/>
      <c r="U79"/>
      <c r="V79"/>
      <c r="W79"/>
    </row>
    <row r="80" spans="1:23" x14ac:dyDescent="0.2">
      <c r="B80" s="266"/>
      <c r="C80" s="266"/>
      <c r="D80" s="266"/>
      <c r="E80" s="266"/>
      <c r="F80" s="266"/>
      <c r="G80" s="266"/>
      <c r="H80" s="266"/>
      <c r="I80" s="266"/>
      <c r="J80" s="266"/>
      <c r="K80" s="266"/>
      <c r="L80" s="266"/>
      <c r="M80" s="266"/>
      <c r="N80"/>
      <c r="O80"/>
      <c r="P80"/>
      <c r="Q80"/>
      <c r="R80"/>
      <c r="S80"/>
      <c r="T80"/>
      <c r="U80"/>
      <c r="V80"/>
      <c r="W80"/>
    </row>
    <row r="81" spans="1:28" x14ac:dyDescent="0.2">
      <c r="B81" s="266"/>
      <c r="C81" s="266"/>
      <c r="D81" s="266"/>
      <c r="E81" s="266"/>
      <c r="F81" s="266"/>
      <c r="G81" s="266"/>
      <c r="H81" s="266"/>
      <c r="I81" s="266"/>
      <c r="J81" s="266"/>
      <c r="K81" s="266"/>
      <c r="L81" s="266"/>
      <c r="M81" s="266"/>
      <c r="N81"/>
      <c r="O81"/>
      <c r="P81"/>
      <c r="Q81"/>
      <c r="R81"/>
      <c r="S81"/>
      <c r="T81"/>
      <c r="U81"/>
      <c r="V81"/>
      <c r="W81"/>
    </row>
    <row r="82" spans="1:28" x14ac:dyDescent="0.2">
      <c r="B82" s="266"/>
      <c r="C82" s="266"/>
      <c r="D82" s="266"/>
      <c r="E82" s="266"/>
      <c r="F82" s="266"/>
      <c r="G82" s="266"/>
      <c r="H82" s="266"/>
      <c r="I82" s="266"/>
      <c r="J82" s="266"/>
      <c r="K82" s="266"/>
      <c r="L82" s="266"/>
      <c r="M82" s="266"/>
      <c r="N82"/>
      <c r="O82"/>
      <c r="P82"/>
      <c r="Q82"/>
      <c r="R82"/>
      <c r="S82"/>
      <c r="T82"/>
      <c r="U82"/>
      <c r="V82"/>
      <c r="W82"/>
    </row>
    <row r="83" spans="1:28" x14ac:dyDescent="0.2">
      <c r="B83" s="266"/>
      <c r="C83" s="266"/>
      <c r="D83" s="266"/>
      <c r="E83" s="266"/>
      <c r="F83" s="266"/>
      <c r="G83" s="266"/>
      <c r="H83" s="266"/>
      <c r="I83" s="266"/>
      <c r="J83" s="266"/>
      <c r="K83" s="266"/>
      <c r="L83" s="266"/>
      <c r="M83" s="266"/>
      <c r="N83"/>
      <c r="O83"/>
      <c r="P83"/>
      <c r="Q83"/>
      <c r="R83"/>
      <c r="S83"/>
      <c r="T83"/>
      <c r="U83"/>
      <c r="V83"/>
      <c r="W83"/>
    </row>
    <row r="84" spans="1:28" x14ac:dyDescent="0.2">
      <c r="B84" s="266"/>
      <c r="C84" s="266"/>
      <c r="D84" s="266"/>
      <c r="E84" s="266"/>
      <c r="F84" s="266"/>
      <c r="G84" s="266"/>
      <c r="H84" s="266"/>
      <c r="I84" s="266"/>
      <c r="J84" s="266"/>
      <c r="K84" s="266"/>
      <c r="L84" s="266"/>
      <c r="M84" s="266"/>
      <c r="N84"/>
      <c r="O84"/>
      <c r="P84"/>
      <c r="Q84"/>
      <c r="R84"/>
      <c r="S84"/>
      <c r="T84"/>
      <c r="U84"/>
      <c r="V84"/>
      <c r="W84"/>
    </row>
    <row r="85" spans="1:28" x14ac:dyDescent="0.2">
      <c r="B85" s="187"/>
      <c r="C85" s="187"/>
      <c r="D85" s="187"/>
      <c r="E85" s="187"/>
      <c r="F85" s="187"/>
      <c r="G85" s="187"/>
      <c r="H85" s="187"/>
      <c r="I85" s="187"/>
      <c r="J85" s="187"/>
      <c r="K85" s="187"/>
      <c r="L85" s="187"/>
      <c r="M85" s="187"/>
      <c r="N85"/>
      <c r="O85"/>
      <c r="P85"/>
      <c r="Q85"/>
      <c r="R85"/>
      <c r="S85"/>
      <c r="T85"/>
      <c r="U85"/>
      <c r="V85"/>
      <c r="W85"/>
    </row>
    <row r="86" spans="1:28" ht="15" thickBot="1" x14ac:dyDescent="0.25">
      <c r="B86" s="108"/>
    </row>
    <row r="87" spans="1:28" x14ac:dyDescent="0.2">
      <c r="B87" s="57"/>
      <c r="C87" s="57"/>
      <c r="D87" s="57"/>
      <c r="E87" s="57"/>
      <c r="F87" s="57"/>
      <c r="G87" s="57"/>
      <c r="H87" s="57"/>
      <c r="I87" s="57"/>
      <c r="J87" s="57"/>
      <c r="K87" s="57"/>
      <c r="L87" s="57"/>
      <c r="M87" s="57"/>
      <c r="N87" s="57"/>
      <c r="O87" s="57"/>
      <c r="P87" s="57"/>
      <c r="Q87" s="57"/>
      <c r="R87" s="57"/>
      <c r="S87" s="57"/>
      <c r="T87" s="57"/>
      <c r="U87" s="57"/>
      <c r="V87" s="57"/>
    </row>
    <row r="88" spans="1:28" ht="18" customHeight="1" x14ac:dyDescent="0.25">
      <c r="A88" s="71" t="s">
        <v>46</v>
      </c>
      <c r="B88" s="71"/>
      <c r="C88" s="177"/>
      <c r="D88" s="177"/>
      <c r="E88" s="177"/>
      <c r="F88" s="177"/>
      <c r="G88" s="177"/>
      <c r="H88" s="177"/>
      <c r="I88" s="177"/>
      <c r="J88" s="177"/>
      <c r="K88" s="177"/>
      <c r="L88" s="177"/>
      <c r="M88" s="177"/>
      <c r="N88" s="186"/>
      <c r="O88" s="186"/>
      <c r="P88" s="186"/>
      <c r="Q88" s="186"/>
      <c r="R88" s="186"/>
      <c r="S88" s="186"/>
      <c r="T88" s="186"/>
      <c r="U88" s="186"/>
      <c r="V88" s="177"/>
    </row>
    <row r="89" spans="1:28" ht="18" customHeight="1" x14ac:dyDescent="0.2">
      <c r="B89" s="87" t="s">
        <v>557</v>
      </c>
      <c r="C89" s="177"/>
      <c r="D89" s="177"/>
      <c r="E89" s="177"/>
      <c r="F89" s="177"/>
      <c r="G89" s="177"/>
      <c r="H89" s="177"/>
      <c r="I89" s="177"/>
      <c r="J89" s="177"/>
      <c r="K89" s="177"/>
      <c r="L89" s="177"/>
      <c r="M89" s="177"/>
      <c r="N89" s="186"/>
      <c r="O89" s="186"/>
      <c r="P89" s="186"/>
      <c r="Q89" s="186"/>
      <c r="R89" s="186"/>
      <c r="S89" s="186"/>
      <c r="T89" s="186"/>
      <c r="U89" s="186"/>
      <c r="V89" s="177"/>
    </row>
    <row r="90" spans="1:28" ht="18" customHeight="1" thickBot="1" x14ac:dyDescent="0.25">
      <c r="B90" s="177"/>
      <c r="C90" s="177"/>
      <c r="D90" s="177"/>
      <c r="E90" s="177"/>
      <c r="F90" s="177"/>
      <c r="G90" s="177"/>
      <c r="H90" s="177"/>
      <c r="I90" s="177"/>
      <c r="J90" s="177"/>
      <c r="K90" s="177"/>
      <c r="L90" s="177"/>
      <c r="M90" s="177"/>
      <c r="N90" s="186"/>
      <c r="O90" s="186"/>
      <c r="P90" s="186"/>
      <c r="Q90" s="186"/>
      <c r="R90" s="186"/>
      <c r="S90" s="186"/>
      <c r="T90" s="186"/>
      <c r="U90" s="186"/>
      <c r="V90" s="177"/>
    </row>
    <row r="91" spans="1:28" ht="18" customHeight="1" thickBot="1" x14ac:dyDescent="0.3">
      <c r="B91" s="247" t="s">
        <v>568</v>
      </c>
      <c r="C91" s="248"/>
      <c r="D91" s="248"/>
      <c r="E91" s="248"/>
      <c r="F91" s="248"/>
      <c r="G91" s="248"/>
      <c r="H91" s="249"/>
      <c r="I91" s="247" t="s">
        <v>569</v>
      </c>
      <c r="J91" s="248"/>
      <c r="K91" s="248"/>
      <c r="L91" s="248"/>
      <c r="M91" s="248"/>
      <c r="N91" s="248"/>
      <c r="O91" s="248"/>
      <c r="P91" s="248"/>
      <c r="Q91" s="248"/>
      <c r="R91" s="248"/>
      <c r="S91" s="248"/>
      <c r="T91" s="248"/>
      <c r="U91" s="248"/>
      <c r="V91" s="248"/>
      <c r="W91" s="249"/>
    </row>
    <row r="92" spans="1:28" ht="19.899999999999999" customHeight="1" x14ac:dyDescent="0.2">
      <c r="B92" s="88"/>
      <c r="C92" s="82"/>
      <c r="D92" s="82"/>
      <c r="E92" s="82"/>
      <c r="F92" s="82"/>
      <c r="G92" s="82"/>
      <c r="H92" s="89"/>
      <c r="I92" s="88"/>
      <c r="J92" s="82"/>
      <c r="K92" s="82"/>
      <c r="L92" s="82"/>
      <c r="M92" s="82"/>
      <c r="N92" s="82"/>
      <c r="O92" s="82"/>
      <c r="P92" s="82"/>
      <c r="Q92" s="82"/>
      <c r="R92" s="82"/>
      <c r="S92" s="82"/>
      <c r="T92" s="82"/>
      <c r="U92" s="82"/>
      <c r="V92" s="82"/>
      <c r="W92" s="90"/>
    </row>
    <row r="93" spans="1:28" ht="22.5" customHeight="1" x14ac:dyDescent="0.2">
      <c r="B93" s="88" t="s">
        <v>35</v>
      </c>
      <c r="C93" s="82"/>
      <c r="D93" s="82"/>
      <c r="E93" s="82"/>
      <c r="F93" s="82"/>
      <c r="G93" s="15"/>
      <c r="H93" s="89"/>
      <c r="I93" s="250" t="s">
        <v>43</v>
      </c>
      <c r="J93" s="251"/>
      <c r="K93" s="251"/>
      <c r="L93" s="251"/>
      <c r="M93" s="251"/>
      <c r="N93" s="251"/>
      <c r="O93" s="251"/>
      <c r="P93" s="251"/>
      <c r="Q93" s="251"/>
      <c r="R93" s="251"/>
      <c r="S93" s="251"/>
      <c r="T93" s="251"/>
      <c r="U93" s="251"/>
      <c r="V93" s="251"/>
      <c r="W93" s="90"/>
      <c r="AB93" s="178"/>
    </row>
    <row r="94" spans="1:28" ht="19.899999999999999" customHeight="1" x14ac:dyDescent="0.2">
      <c r="B94" s="88"/>
      <c r="C94" s="82"/>
      <c r="D94" s="82"/>
      <c r="E94" s="82"/>
      <c r="F94" s="82"/>
      <c r="G94" s="82"/>
      <c r="H94" s="89"/>
      <c r="I94" s="250"/>
      <c r="J94" s="251"/>
      <c r="K94" s="251"/>
      <c r="L94" s="251"/>
      <c r="M94" s="251"/>
      <c r="N94" s="251"/>
      <c r="O94" s="251"/>
      <c r="P94" s="251"/>
      <c r="Q94" s="251"/>
      <c r="R94" s="251"/>
      <c r="S94" s="251"/>
      <c r="T94" s="251"/>
      <c r="U94" s="251"/>
      <c r="V94" s="251"/>
      <c r="W94" s="90"/>
      <c r="AB94" s="178"/>
    </row>
    <row r="95" spans="1:28" ht="19.899999999999999" customHeight="1" x14ac:dyDescent="0.2">
      <c r="B95" s="88" t="s">
        <v>37</v>
      </c>
      <c r="C95" s="82"/>
      <c r="D95" s="82"/>
      <c r="E95" s="82"/>
      <c r="F95" s="82"/>
      <c r="G95" s="15"/>
      <c r="H95" s="89"/>
      <c r="W95" s="90"/>
      <c r="AB95" s="178"/>
    </row>
    <row r="96" spans="1:28" ht="19.899999999999999" customHeight="1" x14ac:dyDescent="0.2">
      <c r="B96" s="88"/>
      <c r="C96" s="82"/>
      <c r="D96" s="82"/>
      <c r="E96" s="82"/>
      <c r="F96" s="82"/>
      <c r="G96" s="82"/>
      <c r="H96" s="89"/>
      <c r="I96" s="56" t="s">
        <v>566</v>
      </c>
      <c r="W96" s="92"/>
      <c r="AB96" s="178"/>
    </row>
    <row r="97" spans="2:28" ht="19.899999999999999" customHeight="1" x14ac:dyDescent="0.2">
      <c r="B97" s="88" t="s">
        <v>44</v>
      </c>
      <c r="C97" s="82"/>
      <c r="D97" s="82"/>
      <c r="E97" s="82"/>
      <c r="F97" s="82"/>
      <c r="G97" s="15"/>
      <c r="H97" s="89"/>
      <c r="I97" s="88" t="s">
        <v>567</v>
      </c>
      <c r="J97" s="82"/>
      <c r="K97" s="82"/>
      <c r="L97" s="82"/>
      <c r="M97" s="82"/>
      <c r="N97" s="82"/>
      <c r="O97" s="82"/>
      <c r="P97" s="82"/>
      <c r="Q97" s="82"/>
      <c r="R97" s="82"/>
      <c r="S97" s="82"/>
      <c r="T97" s="82"/>
      <c r="U97" s="82"/>
      <c r="V97" s="82"/>
      <c r="W97" s="92"/>
      <c r="AB97" s="178"/>
    </row>
    <row r="98" spans="2:28" ht="19.899999999999999" customHeight="1" x14ac:dyDescent="0.2">
      <c r="B98" s="88"/>
      <c r="C98" s="82"/>
      <c r="D98" s="82"/>
      <c r="E98" s="82"/>
      <c r="F98" s="82"/>
      <c r="G98" s="82"/>
      <c r="H98" s="89"/>
      <c r="I98" s="88"/>
      <c r="J98" s="82"/>
      <c r="K98" s="82"/>
      <c r="L98" s="82"/>
      <c r="M98" s="82"/>
      <c r="N98" s="82"/>
      <c r="O98" s="82"/>
      <c r="P98" s="82"/>
      <c r="Q98" s="82"/>
      <c r="R98" s="82"/>
      <c r="S98" s="82"/>
      <c r="T98" s="82"/>
      <c r="U98" s="82"/>
      <c r="V98" s="82"/>
      <c r="W98" s="92"/>
      <c r="AB98" s="178"/>
    </row>
    <row r="99" spans="2:28" ht="19.899999999999999" customHeight="1" x14ac:dyDescent="0.2">
      <c r="B99" s="88" t="s">
        <v>615</v>
      </c>
      <c r="C99" s="82"/>
      <c r="D99" s="82"/>
      <c r="E99" s="82"/>
      <c r="F99" s="82"/>
      <c r="G99" s="15"/>
      <c r="H99" s="89"/>
      <c r="I99" s="88" t="s">
        <v>464</v>
      </c>
      <c r="J99" s="82"/>
      <c r="K99" s="82"/>
      <c r="L99" s="82"/>
      <c r="M99" s="82"/>
      <c r="N99" s="82"/>
      <c r="O99" s="82"/>
      <c r="P99" s="82"/>
      <c r="Q99" s="82"/>
      <c r="R99" s="82"/>
      <c r="S99" s="82"/>
      <c r="T99" s="82"/>
      <c r="U99" s="82"/>
      <c r="V99" s="82"/>
      <c r="W99" s="92"/>
      <c r="AB99" s="178"/>
    </row>
    <row r="100" spans="2:28" ht="19.899999999999999" customHeight="1" x14ac:dyDescent="0.2">
      <c r="B100" s="88"/>
      <c r="C100" s="82"/>
      <c r="D100" s="82"/>
      <c r="E100" s="82"/>
      <c r="F100" s="82"/>
      <c r="G100" s="82"/>
      <c r="H100" s="89"/>
      <c r="I100" s="252"/>
      <c r="J100" s="253"/>
      <c r="K100" s="253"/>
      <c r="L100" s="253"/>
      <c r="M100" s="253"/>
      <c r="N100" s="253"/>
      <c r="O100" s="253"/>
      <c r="P100" s="253"/>
      <c r="Q100" s="253"/>
      <c r="R100" s="253"/>
      <c r="S100" s="253"/>
      <c r="T100" s="253"/>
      <c r="U100" s="253"/>
      <c r="V100" s="253"/>
      <c r="W100" s="254"/>
    </row>
    <row r="101" spans="2:28" ht="19.899999999999999" customHeight="1" x14ac:dyDescent="0.2">
      <c r="B101" s="88" t="s">
        <v>720</v>
      </c>
      <c r="C101" s="82"/>
      <c r="D101" s="82"/>
      <c r="E101" s="82"/>
      <c r="F101" s="82"/>
      <c r="G101" s="15"/>
      <c r="H101" s="89"/>
      <c r="I101" s="88"/>
      <c r="J101" s="82"/>
      <c r="K101" s="82"/>
      <c r="L101" s="82"/>
      <c r="M101" s="82"/>
      <c r="N101" s="82"/>
      <c r="O101" s="82"/>
      <c r="P101" s="82"/>
      <c r="Q101" s="82"/>
      <c r="R101" s="82"/>
      <c r="S101" s="82"/>
      <c r="T101" s="82"/>
      <c r="U101" s="82"/>
      <c r="V101" s="82"/>
      <c r="W101" s="90"/>
    </row>
    <row r="102" spans="2:28" ht="19.899999999999999" customHeight="1" x14ac:dyDescent="0.2">
      <c r="B102" s="88"/>
      <c r="C102" s="82"/>
      <c r="D102" s="82"/>
      <c r="E102" s="82"/>
      <c r="F102" s="82"/>
      <c r="G102" s="82"/>
      <c r="H102" s="89"/>
      <c r="I102" s="88"/>
      <c r="J102" s="82"/>
      <c r="K102" s="82"/>
      <c r="L102" s="82"/>
      <c r="M102" s="82"/>
      <c r="N102" s="82"/>
      <c r="O102" s="82"/>
      <c r="P102" s="82"/>
      <c r="Q102" s="82"/>
      <c r="R102" s="82"/>
      <c r="S102" s="82"/>
      <c r="T102" s="82"/>
      <c r="U102" s="82"/>
      <c r="V102" s="82"/>
      <c r="W102" s="90"/>
    </row>
    <row r="103" spans="2:28" ht="19.899999999999999" customHeight="1" x14ac:dyDescent="0.2">
      <c r="B103" s="94" t="s">
        <v>736</v>
      </c>
      <c r="C103" s="82"/>
      <c r="D103" s="82"/>
      <c r="E103" s="82"/>
      <c r="F103" s="82"/>
      <c r="G103" s="15"/>
      <c r="H103" s="89"/>
      <c r="I103" s="269" t="s">
        <v>735</v>
      </c>
      <c r="J103" s="271"/>
      <c r="K103" s="271"/>
      <c r="L103" s="271"/>
      <c r="M103" s="271"/>
      <c r="N103" s="271"/>
      <c r="O103" s="271"/>
      <c r="P103" s="271"/>
      <c r="Q103" s="271"/>
      <c r="R103" s="271"/>
      <c r="S103" s="271"/>
      <c r="T103" s="271"/>
      <c r="U103" s="271"/>
      <c r="V103" s="271"/>
      <c r="W103" s="90"/>
    </row>
    <row r="104" spans="2:28" ht="19.899999999999999" customHeight="1" x14ac:dyDescent="0.2">
      <c r="B104" s="188"/>
      <c r="C104" s="97"/>
      <c r="D104" s="97"/>
      <c r="E104" s="97"/>
      <c r="F104" s="97"/>
      <c r="G104" s="97"/>
      <c r="H104" s="89"/>
      <c r="I104" s="269"/>
      <c r="J104" s="271"/>
      <c r="K104" s="271"/>
      <c r="L104" s="271"/>
      <c r="M104" s="271"/>
      <c r="N104" s="271"/>
      <c r="O104" s="271"/>
      <c r="P104" s="271"/>
      <c r="Q104" s="271"/>
      <c r="R104" s="271"/>
      <c r="S104" s="271"/>
      <c r="T104" s="271"/>
      <c r="U104" s="271"/>
      <c r="V104" s="271"/>
      <c r="W104" s="90"/>
    </row>
    <row r="105" spans="2:28" ht="19.899999999999999" customHeight="1" x14ac:dyDescent="0.2">
      <c r="B105" s="88" t="s">
        <v>721</v>
      </c>
      <c r="C105" s="82"/>
      <c r="D105" s="82"/>
      <c r="E105" s="82"/>
      <c r="F105" s="82"/>
      <c r="G105" s="15"/>
      <c r="H105" s="89"/>
      <c r="I105" s="269"/>
      <c r="J105" s="271"/>
      <c r="K105" s="271"/>
      <c r="L105" s="271"/>
      <c r="M105" s="271"/>
      <c r="N105" s="271"/>
      <c r="O105" s="271"/>
      <c r="P105" s="271"/>
      <c r="Q105" s="271"/>
      <c r="R105" s="271"/>
      <c r="S105" s="271"/>
      <c r="T105" s="271"/>
      <c r="U105" s="271"/>
      <c r="V105" s="271"/>
      <c r="W105" s="90"/>
    </row>
    <row r="106" spans="2:28" ht="19.899999999999999" customHeight="1" x14ac:dyDescent="0.2">
      <c r="B106" s="188"/>
      <c r="C106" s="97"/>
      <c r="D106" s="97"/>
      <c r="E106" s="97"/>
      <c r="F106" s="97"/>
      <c r="G106" s="97"/>
      <c r="H106" s="89"/>
      <c r="I106" s="88"/>
      <c r="J106" s="82"/>
      <c r="K106" s="82"/>
      <c r="L106" s="82"/>
      <c r="M106" s="82"/>
      <c r="N106" s="82"/>
      <c r="O106" s="82"/>
      <c r="P106" s="82"/>
      <c r="Q106" s="82"/>
      <c r="R106" s="82"/>
      <c r="S106" s="82"/>
      <c r="T106" s="82"/>
      <c r="U106" s="82"/>
      <c r="V106" s="82"/>
      <c r="W106" s="90"/>
    </row>
    <row r="107" spans="2:28" ht="19.899999999999999" customHeight="1" x14ac:dyDescent="0.2">
      <c r="B107" s="88" t="s">
        <v>719</v>
      </c>
      <c r="C107" s="82"/>
      <c r="D107" s="82"/>
      <c r="E107" s="82"/>
      <c r="F107" s="82"/>
      <c r="G107" s="15"/>
      <c r="H107" s="89"/>
      <c r="I107" s="88"/>
      <c r="J107" s="82"/>
      <c r="K107" s="82"/>
      <c r="L107" s="82"/>
      <c r="M107" s="82"/>
      <c r="N107" s="82"/>
      <c r="O107" s="82"/>
      <c r="P107" s="82"/>
      <c r="Q107" s="82"/>
      <c r="R107" s="82"/>
      <c r="S107" s="82"/>
      <c r="T107" s="82"/>
      <c r="U107" s="82"/>
      <c r="V107" s="82"/>
      <c r="W107" s="90"/>
    </row>
    <row r="108" spans="2:28" ht="19.899999999999999" customHeight="1" x14ac:dyDescent="0.2">
      <c r="B108" s="188"/>
      <c r="C108" s="97"/>
      <c r="D108" s="97"/>
      <c r="E108" s="97"/>
      <c r="F108" s="97"/>
      <c r="G108" s="97"/>
      <c r="H108" s="89"/>
      <c r="I108" s="88"/>
      <c r="J108" s="82"/>
      <c r="K108" s="82"/>
      <c r="L108" s="82"/>
      <c r="M108" s="82"/>
      <c r="N108" s="82"/>
      <c r="O108" s="82"/>
      <c r="P108" s="82"/>
      <c r="Q108" s="82"/>
      <c r="R108" s="82"/>
      <c r="S108" s="82"/>
      <c r="T108" s="82"/>
      <c r="U108" s="82"/>
      <c r="V108" s="82"/>
      <c r="W108" s="90"/>
    </row>
    <row r="109" spans="2:28" ht="19.899999999999999" customHeight="1" x14ac:dyDescent="0.2">
      <c r="B109" s="88" t="s">
        <v>723</v>
      </c>
      <c r="C109" s="82"/>
      <c r="D109" s="82"/>
      <c r="E109" s="82"/>
      <c r="F109" s="82"/>
      <c r="G109" s="15"/>
      <c r="H109" s="89"/>
      <c r="I109" s="88"/>
      <c r="J109" s="82"/>
      <c r="K109" s="82"/>
      <c r="L109" s="82"/>
      <c r="M109" s="82"/>
      <c r="N109" s="82"/>
      <c r="O109" s="82"/>
      <c r="P109" s="82"/>
      <c r="Q109" s="82"/>
      <c r="R109" s="82"/>
      <c r="S109" s="82"/>
      <c r="T109" s="82"/>
      <c r="U109" s="82"/>
      <c r="V109" s="82"/>
      <c r="W109" s="90"/>
    </row>
    <row r="110" spans="2:28" ht="19.899999999999999" customHeight="1" x14ac:dyDescent="0.2">
      <c r="B110" s="188"/>
      <c r="C110" s="97"/>
      <c r="D110" s="97"/>
      <c r="E110" s="97"/>
      <c r="F110" s="97"/>
      <c r="G110" s="97"/>
      <c r="H110" s="89"/>
      <c r="I110" s="88"/>
      <c r="J110" s="82"/>
      <c r="K110" s="82"/>
      <c r="L110" s="82"/>
      <c r="M110" s="82"/>
      <c r="N110" s="82"/>
      <c r="O110" s="82"/>
      <c r="P110" s="82"/>
      <c r="Q110" s="82"/>
      <c r="R110" s="82"/>
      <c r="S110" s="82"/>
      <c r="T110" s="82"/>
      <c r="U110" s="82"/>
      <c r="V110" s="82"/>
      <c r="W110" s="90"/>
    </row>
    <row r="111" spans="2:28" ht="19.899999999999999" customHeight="1" x14ac:dyDescent="0.2">
      <c r="B111" s="88" t="s">
        <v>722</v>
      </c>
      <c r="C111" s="82"/>
      <c r="D111" s="82"/>
      <c r="E111" s="82"/>
      <c r="F111" s="82"/>
      <c r="G111" s="15"/>
      <c r="H111" s="89"/>
      <c r="I111" s="88"/>
      <c r="J111" s="82"/>
      <c r="K111" s="82"/>
      <c r="L111" s="82"/>
      <c r="M111" s="82"/>
      <c r="N111" s="82"/>
      <c r="O111" s="82"/>
      <c r="P111" s="82"/>
      <c r="Q111" s="82"/>
      <c r="R111" s="82"/>
      <c r="S111" s="82"/>
      <c r="T111" s="82"/>
      <c r="U111" s="82"/>
      <c r="V111" s="82"/>
      <c r="W111" s="90"/>
    </row>
    <row r="112" spans="2:28" ht="19.899999999999999" customHeight="1" x14ac:dyDescent="0.2">
      <c r="B112" s="188"/>
      <c r="C112" s="189"/>
      <c r="D112" s="189"/>
      <c r="E112" s="189"/>
      <c r="F112" s="189"/>
      <c r="G112" s="189"/>
      <c r="H112" s="100"/>
      <c r="I112" s="88"/>
      <c r="J112" s="82"/>
      <c r="K112" s="82"/>
      <c r="L112" s="82"/>
      <c r="M112" s="82"/>
      <c r="N112" s="82"/>
      <c r="O112" s="82"/>
      <c r="P112" s="82"/>
      <c r="Q112" s="82"/>
      <c r="R112" s="82"/>
      <c r="S112" s="82"/>
      <c r="T112" s="82"/>
      <c r="U112" s="82"/>
      <c r="V112" s="82"/>
      <c r="W112" s="90"/>
    </row>
    <row r="113" spans="2:23" ht="17.45" customHeight="1" x14ac:dyDescent="0.2">
      <c r="B113" s="193" t="s">
        <v>724</v>
      </c>
      <c r="C113" s="82"/>
      <c r="D113" s="82"/>
      <c r="E113" s="82"/>
      <c r="F113" s="82"/>
      <c r="G113" s="15"/>
      <c r="H113" s="100"/>
      <c r="I113" s="88"/>
      <c r="J113" s="82"/>
      <c r="K113" s="82"/>
      <c r="L113" s="82"/>
      <c r="M113" s="82"/>
      <c r="N113" s="82"/>
      <c r="O113" s="82"/>
      <c r="P113" s="82"/>
      <c r="Q113" s="82"/>
      <c r="R113" s="82"/>
      <c r="S113" s="82"/>
      <c r="T113" s="82"/>
      <c r="U113" s="82"/>
      <c r="V113" s="82"/>
      <c r="W113" s="90"/>
    </row>
    <row r="114" spans="2:23" ht="19.899999999999999" customHeight="1" x14ac:dyDescent="0.2">
      <c r="B114" s="188"/>
      <c r="C114" s="189"/>
      <c r="D114" s="189"/>
      <c r="E114" s="189"/>
      <c r="F114" s="189"/>
      <c r="G114" s="189"/>
      <c r="H114" s="100"/>
      <c r="I114" s="88"/>
      <c r="J114" s="82"/>
      <c r="K114" s="82"/>
      <c r="L114" s="82"/>
      <c r="M114" s="82"/>
      <c r="N114" s="82"/>
      <c r="O114" s="82"/>
      <c r="P114" s="82"/>
      <c r="Q114" s="82"/>
      <c r="R114" s="82"/>
      <c r="S114" s="82"/>
      <c r="T114" s="82"/>
      <c r="U114" s="82"/>
      <c r="V114" s="82"/>
      <c r="W114" s="90"/>
    </row>
    <row r="115" spans="2:23" ht="19.899999999999999" customHeight="1" x14ac:dyDescent="0.2">
      <c r="B115" s="88" t="s">
        <v>725</v>
      </c>
      <c r="C115" s="82"/>
      <c r="D115" s="82"/>
      <c r="E115" s="82"/>
      <c r="F115" s="82"/>
      <c r="G115" s="15"/>
      <c r="H115" s="100"/>
      <c r="I115" s="88"/>
      <c r="J115" s="82"/>
      <c r="K115" s="82"/>
      <c r="L115" s="82"/>
      <c r="M115" s="82"/>
      <c r="N115" s="82"/>
      <c r="O115" s="82"/>
      <c r="P115" s="82"/>
      <c r="Q115" s="82"/>
      <c r="R115" s="82"/>
      <c r="S115" s="82"/>
      <c r="T115" s="82"/>
      <c r="U115" s="82"/>
      <c r="V115" s="82"/>
      <c r="W115" s="90"/>
    </row>
    <row r="116" spans="2:23" ht="19.899999999999999" customHeight="1" x14ac:dyDescent="0.2">
      <c r="B116" s="188"/>
      <c r="C116" s="189"/>
      <c r="D116" s="189"/>
      <c r="E116" s="189"/>
      <c r="F116" s="189"/>
      <c r="G116" s="189"/>
      <c r="H116" s="100"/>
      <c r="I116" s="88"/>
      <c r="J116" s="82"/>
      <c r="K116" s="82"/>
      <c r="L116" s="82"/>
      <c r="M116" s="82"/>
      <c r="N116" s="82"/>
      <c r="O116" s="82"/>
      <c r="P116" s="82"/>
      <c r="Q116" s="82"/>
      <c r="R116" s="82"/>
      <c r="S116" s="82"/>
      <c r="T116" s="82"/>
      <c r="U116" s="82"/>
      <c r="V116" s="82"/>
      <c r="W116" s="90"/>
    </row>
    <row r="117" spans="2:23" ht="19.899999999999999" customHeight="1" x14ac:dyDescent="0.2">
      <c r="B117" s="98"/>
      <c r="C117" s="191"/>
      <c r="D117" s="191"/>
      <c r="E117" s="191"/>
      <c r="F117" s="191"/>
      <c r="G117" s="191"/>
      <c r="H117" s="100"/>
      <c r="I117" s="88"/>
      <c r="J117" s="82"/>
      <c r="K117" s="82"/>
      <c r="L117" s="82"/>
      <c r="M117" s="82"/>
      <c r="N117" s="82"/>
      <c r="O117" s="82"/>
      <c r="P117" s="82"/>
      <c r="Q117" s="82"/>
      <c r="R117" s="82"/>
      <c r="S117" s="82"/>
      <c r="T117" s="82"/>
      <c r="U117" s="82"/>
      <c r="V117" s="82"/>
      <c r="W117" s="90"/>
    </row>
    <row r="118" spans="2:23" ht="19.899999999999999" customHeight="1" x14ac:dyDescent="0.2">
      <c r="B118" s="245" t="s">
        <v>512</v>
      </c>
      <c r="C118" s="246"/>
      <c r="D118" s="246"/>
      <c r="E118" s="246"/>
      <c r="F118" s="246"/>
      <c r="G118" s="246"/>
      <c r="H118" s="100"/>
      <c r="I118" s="88"/>
      <c r="J118" s="82"/>
      <c r="K118" s="82"/>
      <c r="L118" s="82"/>
      <c r="M118" s="82"/>
      <c r="N118" s="82"/>
      <c r="O118" s="82"/>
      <c r="P118" s="82"/>
      <c r="Q118" s="82"/>
      <c r="R118" s="82"/>
      <c r="S118" s="82"/>
      <c r="T118" s="82"/>
      <c r="U118" s="82"/>
      <c r="V118" s="82"/>
      <c r="W118" s="90"/>
    </row>
    <row r="119" spans="2:23" ht="43.15" customHeight="1" x14ac:dyDescent="0.2">
      <c r="B119" s="245"/>
      <c r="C119" s="246"/>
      <c r="D119" s="246"/>
      <c r="E119" s="246"/>
      <c r="F119" s="246"/>
      <c r="G119" s="246"/>
      <c r="H119" s="192"/>
      <c r="I119" s="88"/>
      <c r="J119" s="82"/>
      <c r="K119" s="82"/>
      <c r="L119" s="82"/>
      <c r="M119" s="82"/>
      <c r="N119" s="82"/>
      <c r="O119" s="82"/>
      <c r="P119" s="82"/>
      <c r="Q119" s="82"/>
      <c r="R119" s="82"/>
      <c r="S119" s="82"/>
      <c r="T119" s="82"/>
      <c r="U119" s="82"/>
      <c r="V119" s="82"/>
      <c r="W119" s="90"/>
    </row>
    <row r="120" spans="2:23" ht="19.899999999999999" customHeight="1" x14ac:dyDescent="0.2">
      <c r="B120" s="98"/>
      <c r="C120" s="191"/>
      <c r="D120" s="191"/>
      <c r="E120" s="191"/>
      <c r="F120" s="191"/>
      <c r="G120" s="191"/>
      <c r="H120" s="192"/>
      <c r="I120" s="88"/>
      <c r="J120" s="82"/>
      <c r="K120" s="82"/>
      <c r="L120" s="82"/>
      <c r="M120" s="82"/>
      <c r="N120" s="82"/>
      <c r="O120" s="82"/>
      <c r="P120" s="82"/>
      <c r="Q120" s="82"/>
      <c r="R120" s="82"/>
      <c r="S120" s="82"/>
      <c r="T120" s="82"/>
      <c r="U120" s="82"/>
      <c r="V120" s="82"/>
      <c r="W120" s="90"/>
    </row>
    <row r="121" spans="2:23" ht="19.899999999999999" customHeight="1" x14ac:dyDescent="0.2">
      <c r="B121" s="98"/>
      <c r="C121" s="191"/>
      <c r="D121" s="191"/>
      <c r="E121" s="191"/>
      <c r="F121" s="191"/>
      <c r="G121" s="191"/>
      <c r="H121" s="192"/>
      <c r="I121" s="88"/>
      <c r="J121" s="82"/>
      <c r="K121" s="82"/>
      <c r="L121" s="82"/>
      <c r="M121" s="82"/>
      <c r="N121" s="82"/>
      <c r="O121" s="82"/>
      <c r="P121" s="82"/>
      <c r="Q121" s="82"/>
      <c r="R121" s="82"/>
      <c r="S121" s="82"/>
      <c r="T121" s="82"/>
      <c r="U121" s="82"/>
      <c r="V121" s="82"/>
      <c r="W121" s="90"/>
    </row>
    <row r="122" spans="2:23" ht="19.899999999999999" customHeight="1" x14ac:dyDescent="0.2">
      <c r="B122" s="98"/>
      <c r="C122" s="242"/>
      <c r="D122" s="243"/>
      <c r="E122" s="243"/>
      <c r="F122" s="243"/>
      <c r="G122" s="243"/>
      <c r="H122" s="192"/>
      <c r="I122" s="88"/>
      <c r="J122" s="82"/>
      <c r="K122" s="82"/>
      <c r="L122" s="82"/>
      <c r="M122" s="82"/>
      <c r="N122" s="82"/>
      <c r="O122" s="82"/>
      <c r="P122" s="82"/>
      <c r="Q122" s="82"/>
      <c r="R122" s="82"/>
      <c r="S122" s="82"/>
      <c r="T122" s="82"/>
      <c r="U122" s="82"/>
      <c r="V122" s="82"/>
      <c r="W122" s="90"/>
    </row>
    <row r="123" spans="2:23" ht="19.899999999999999" customHeight="1" x14ac:dyDescent="0.2">
      <c r="B123" s="98"/>
      <c r="C123" s="243"/>
      <c r="D123" s="243"/>
      <c r="E123" s="243"/>
      <c r="F123" s="243"/>
      <c r="G123" s="243"/>
      <c r="H123" s="192"/>
      <c r="I123" s="88"/>
      <c r="J123" s="82"/>
      <c r="K123" s="82"/>
      <c r="L123" s="82"/>
      <c r="M123" s="82"/>
      <c r="N123" s="82"/>
      <c r="O123" s="82"/>
      <c r="P123" s="82"/>
      <c r="Q123" s="82"/>
      <c r="R123" s="82"/>
      <c r="S123" s="82"/>
      <c r="T123" s="82"/>
      <c r="U123" s="82"/>
      <c r="V123" s="82"/>
      <c r="W123" s="90"/>
    </row>
    <row r="124" spans="2:23" ht="19.899999999999999" customHeight="1" x14ac:dyDescent="0.2">
      <c r="B124" s="98"/>
      <c r="C124" s="243"/>
      <c r="D124" s="243"/>
      <c r="E124" s="243"/>
      <c r="F124" s="243"/>
      <c r="G124" s="243"/>
      <c r="H124" s="192"/>
      <c r="I124" s="88"/>
      <c r="J124" s="82"/>
      <c r="K124" s="82"/>
      <c r="L124" s="82"/>
      <c r="M124" s="82"/>
      <c r="N124" s="82"/>
      <c r="O124" s="82"/>
      <c r="P124" s="82"/>
      <c r="Q124" s="82"/>
      <c r="R124" s="82"/>
      <c r="S124" s="82"/>
      <c r="T124" s="82"/>
      <c r="U124" s="82"/>
      <c r="V124" s="82"/>
      <c r="W124" s="90"/>
    </row>
    <row r="125" spans="2:23" ht="19.899999999999999" customHeight="1" x14ac:dyDescent="0.2">
      <c r="B125" s="98"/>
      <c r="C125" s="243"/>
      <c r="D125" s="243"/>
      <c r="E125" s="243"/>
      <c r="F125" s="243"/>
      <c r="G125" s="243"/>
      <c r="H125" s="192"/>
      <c r="I125" s="88"/>
      <c r="J125" s="82"/>
      <c r="K125" s="82"/>
      <c r="L125" s="82"/>
      <c r="M125" s="82"/>
      <c r="N125" s="82"/>
      <c r="O125" s="82"/>
      <c r="P125" s="82"/>
      <c r="Q125" s="82"/>
      <c r="R125" s="82"/>
      <c r="S125" s="82"/>
      <c r="T125" s="82"/>
      <c r="U125" s="82"/>
      <c r="V125" s="82"/>
      <c r="W125" s="90"/>
    </row>
    <row r="126" spans="2:23" ht="19.899999999999999" customHeight="1" x14ac:dyDescent="0.2">
      <c r="B126" s="98"/>
      <c r="C126" s="243"/>
      <c r="D126" s="243"/>
      <c r="E126" s="243"/>
      <c r="F126" s="243"/>
      <c r="G126" s="243"/>
      <c r="H126" s="192"/>
      <c r="I126" s="88"/>
      <c r="J126" s="82"/>
      <c r="K126" s="82"/>
      <c r="L126" s="82"/>
      <c r="M126" s="82"/>
      <c r="N126" s="82"/>
      <c r="O126" s="82"/>
      <c r="P126" s="82"/>
      <c r="Q126" s="82"/>
      <c r="R126" s="82"/>
      <c r="S126" s="82"/>
      <c r="T126" s="82"/>
      <c r="U126" s="82"/>
      <c r="V126" s="82"/>
      <c r="W126" s="90"/>
    </row>
    <row r="127" spans="2:23" ht="19.899999999999999" customHeight="1" x14ac:dyDescent="0.2">
      <c r="B127" s="98"/>
      <c r="C127" s="243"/>
      <c r="D127" s="243"/>
      <c r="E127" s="243"/>
      <c r="F127" s="243"/>
      <c r="G127" s="243"/>
      <c r="H127" s="192"/>
      <c r="I127" s="88"/>
      <c r="J127" s="82"/>
      <c r="K127" s="82"/>
      <c r="L127" s="82"/>
      <c r="M127" s="82"/>
      <c r="N127" s="82"/>
      <c r="O127" s="82"/>
      <c r="P127" s="82"/>
      <c r="Q127" s="82"/>
      <c r="R127" s="82"/>
      <c r="S127" s="82"/>
      <c r="T127" s="82"/>
      <c r="U127" s="82"/>
      <c r="V127" s="82"/>
      <c r="W127" s="90"/>
    </row>
    <row r="128" spans="2:23" ht="19.899999999999999" customHeight="1" x14ac:dyDescent="0.2">
      <c r="B128" s="98"/>
      <c r="C128" s="243"/>
      <c r="D128" s="243"/>
      <c r="E128" s="243"/>
      <c r="F128" s="243"/>
      <c r="G128" s="243"/>
      <c r="H128" s="192"/>
      <c r="I128" s="88"/>
      <c r="J128" s="82"/>
      <c r="K128" s="82"/>
      <c r="L128" s="82"/>
      <c r="M128" s="82"/>
      <c r="N128" s="82"/>
      <c r="O128" s="82"/>
      <c r="P128" s="82"/>
      <c r="Q128" s="82"/>
      <c r="R128" s="82"/>
      <c r="S128" s="82"/>
      <c r="T128" s="82"/>
      <c r="U128" s="82"/>
      <c r="V128" s="82"/>
      <c r="W128" s="90"/>
    </row>
    <row r="129" spans="1:23" ht="19.899999999999999" customHeight="1" x14ac:dyDescent="0.2">
      <c r="B129" s="98"/>
      <c r="C129" s="243"/>
      <c r="D129" s="243"/>
      <c r="E129" s="243"/>
      <c r="F129" s="243"/>
      <c r="G129" s="243"/>
      <c r="H129" s="192"/>
      <c r="I129" s="88"/>
      <c r="J129" s="82"/>
      <c r="K129" s="82"/>
      <c r="L129" s="82"/>
      <c r="M129" s="82"/>
      <c r="N129" s="82"/>
      <c r="O129" s="82"/>
      <c r="P129" s="82"/>
      <c r="Q129" s="82"/>
      <c r="R129" s="82"/>
      <c r="S129" s="82"/>
      <c r="T129" s="82"/>
      <c r="U129" s="82"/>
      <c r="V129" s="82"/>
      <c r="W129" s="90"/>
    </row>
    <row r="130" spans="1:23" ht="19.899999999999999" customHeight="1" thickBot="1" x14ac:dyDescent="0.25">
      <c r="B130" s="102"/>
      <c r="C130" s="103"/>
      <c r="D130" s="103"/>
      <c r="E130" s="103"/>
      <c r="F130" s="103"/>
      <c r="G130" s="103"/>
      <c r="H130" s="104"/>
      <c r="I130" s="105"/>
      <c r="J130" s="106"/>
      <c r="K130" s="106"/>
      <c r="L130" s="106"/>
      <c r="M130" s="106"/>
      <c r="N130" s="106"/>
      <c r="O130" s="106"/>
      <c r="P130" s="106"/>
      <c r="Q130" s="106"/>
      <c r="R130" s="106"/>
      <c r="S130" s="106"/>
      <c r="T130" s="106"/>
      <c r="U130" s="106"/>
      <c r="V130" s="106"/>
      <c r="W130" s="107"/>
    </row>
    <row r="131" spans="1:23" ht="18" customHeight="1" x14ac:dyDescent="0.2">
      <c r="B131" s="177"/>
      <c r="C131" s="177"/>
      <c r="D131" s="177"/>
      <c r="E131" s="177"/>
      <c r="F131" s="177"/>
      <c r="G131" s="177"/>
      <c r="H131" s="177"/>
      <c r="I131" s="177"/>
      <c r="J131" s="177"/>
      <c r="K131" s="177"/>
      <c r="L131" s="177"/>
      <c r="M131" s="177"/>
      <c r="N131" s="186"/>
      <c r="O131" s="186"/>
      <c r="P131" s="186"/>
      <c r="Q131" s="186"/>
      <c r="R131" s="186"/>
      <c r="S131" s="186"/>
      <c r="T131" s="186"/>
      <c r="U131" s="186"/>
      <c r="V131" s="177"/>
    </row>
    <row r="132" spans="1:23" ht="18" customHeight="1" x14ac:dyDescent="0.25">
      <c r="A132" s="109" t="s">
        <v>39</v>
      </c>
      <c r="B132" s="109"/>
      <c r="C132" s="177"/>
      <c r="D132" s="177"/>
      <c r="E132" s="177"/>
      <c r="F132" s="177"/>
      <c r="G132" s="177"/>
      <c r="H132" s="177"/>
      <c r="I132" s="177"/>
      <c r="J132" s="177"/>
      <c r="K132" s="177"/>
      <c r="L132" s="177"/>
      <c r="M132" s="177"/>
      <c r="N132" s="186"/>
      <c r="O132" s="186"/>
      <c r="P132" s="186"/>
      <c r="Q132" s="186"/>
      <c r="R132" s="186"/>
      <c r="S132" s="186"/>
      <c r="T132" s="186"/>
      <c r="U132" s="186"/>
      <c r="V132" s="177"/>
    </row>
    <row r="133" spans="1:23" ht="18" customHeight="1" x14ac:dyDescent="0.2">
      <c r="B133" s="241" t="s">
        <v>616</v>
      </c>
      <c r="C133" s="241"/>
      <c r="D133" s="241"/>
      <c r="E133" s="241"/>
      <c r="F133" s="241"/>
      <c r="G133" s="241"/>
      <c r="H133" s="241"/>
      <c r="I133" s="241"/>
      <c r="J133" s="241"/>
      <c r="K133" s="241"/>
      <c r="L133" s="241"/>
      <c r="M133" s="241"/>
      <c r="N133" s="241"/>
      <c r="O133" s="241"/>
      <c r="P133" s="241"/>
      <c r="Q133" s="241"/>
      <c r="R133" s="241"/>
      <c r="S133" s="241"/>
      <c r="T133" s="241"/>
      <c r="U133" s="241"/>
      <c r="V133" s="241"/>
      <c r="W133" s="177"/>
    </row>
    <row r="134" spans="1:23" ht="18" customHeight="1" x14ac:dyDescent="0.2">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177"/>
    </row>
    <row r="135" spans="1:23" ht="18" customHeight="1" thickBot="1" x14ac:dyDescent="0.25"/>
    <row r="136" spans="1:23" ht="18" customHeight="1" x14ac:dyDescent="0.2">
      <c r="B136" s="57"/>
      <c r="C136" s="57"/>
      <c r="D136" s="57"/>
      <c r="E136" s="57"/>
      <c r="F136" s="57"/>
      <c r="G136" s="57"/>
      <c r="H136" s="57"/>
      <c r="I136" s="57"/>
      <c r="J136" s="57"/>
      <c r="K136" s="57"/>
      <c r="L136" s="57"/>
      <c r="M136" s="57"/>
      <c r="N136" s="57"/>
      <c r="O136" s="57"/>
      <c r="P136" s="57"/>
      <c r="Q136" s="57"/>
      <c r="R136" s="57"/>
      <c r="S136" s="57"/>
      <c r="T136" s="57"/>
      <c r="U136" s="57"/>
      <c r="V136" s="57"/>
      <c r="W136" s="177"/>
    </row>
    <row r="137" spans="1:23" ht="18" customHeight="1" x14ac:dyDescent="0.25">
      <c r="A137" s="71" t="s">
        <v>606</v>
      </c>
      <c r="B137" s="71"/>
      <c r="C137" s="177"/>
      <c r="D137" s="177"/>
      <c r="E137" s="177"/>
      <c r="F137" s="177"/>
      <c r="G137" s="177"/>
      <c r="H137" s="177"/>
      <c r="I137" s="177"/>
      <c r="J137" s="177"/>
      <c r="K137" s="177"/>
      <c r="L137" s="177"/>
      <c r="M137" s="177"/>
      <c r="N137" s="186"/>
      <c r="O137" s="186"/>
      <c r="P137" s="186"/>
      <c r="Q137" s="186"/>
      <c r="R137" s="186"/>
      <c r="S137" s="186"/>
      <c r="T137" s="186"/>
      <c r="U137" s="186"/>
      <c r="V137" s="177"/>
    </row>
    <row r="138" spans="1:23" ht="18" customHeight="1" x14ac:dyDescent="0.2">
      <c r="B138" s="87" t="s">
        <v>557</v>
      </c>
      <c r="C138" s="177"/>
      <c r="D138" s="177"/>
      <c r="E138" s="177"/>
      <c r="F138" s="177"/>
      <c r="G138" s="177"/>
      <c r="H138" s="177"/>
      <c r="I138" s="177"/>
      <c r="J138" s="177"/>
      <c r="K138" s="177"/>
      <c r="L138" s="177"/>
      <c r="M138" s="177"/>
      <c r="N138" s="186"/>
      <c r="O138" s="186"/>
      <c r="P138" s="186"/>
      <c r="Q138" s="186"/>
      <c r="R138" s="186"/>
      <c r="S138" s="186"/>
      <c r="T138" s="186"/>
      <c r="U138" s="186"/>
      <c r="V138" s="177"/>
    </row>
    <row r="139" spans="1:23" ht="18" customHeight="1" thickBot="1" x14ac:dyDescent="0.25">
      <c r="B139" s="177"/>
      <c r="C139" s="177"/>
      <c r="D139" s="177"/>
      <c r="E139" s="177"/>
      <c r="F139" s="177"/>
      <c r="G139" s="177"/>
      <c r="H139" s="177"/>
      <c r="I139" s="177"/>
      <c r="J139" s="177"/>
      <c r="K139" s="177"/>
      <c r="L139" s="177"/>
      <c r="M139" s="177"/>
      <c r="N139" s="186"/>
      <c r="O139" s="186"/>
      <c r="P139" s="186"/>
      <c r="Q139" s="186"/>
      <c r="R139" s="186"/>
      <c r="S139" s="186"/>
      <c r="T139" s="186"/>
      <c r="U139" s="186"/>
      <c r="V139" s="177"/>
    </row>
    <row r="140" spans="1:23" ht="18" customHeight="1" thickBot="1" x14ac:dyDescent="0.3">
      <c r="B140" s="247" t="s">
        <v>568</v>
      </c>
      <c r="C140" s="248"/>
      <c r="D140" s="248"/>
      <c r="E140" s="248"/>
      <c r="F140" s="248"/>
      <c r="G140" s="248"/>
      <c r="H140" s="249"/>
      <c r="I140" s="247" t="s">
        <v>569</v>
      </c>
      <c r="J140" s="248"/>
      <c r="K140" s="248"/>
      <c r="L140" s="248"/>
      <c r="M140" s="248"/>
      <c r="N140" s="248"/>
      <c r="O140" s="248"/>
      <c r="P140" s="248"/>
      <c r="Q140" s="248"/>
      <c r="R140" s="248"/>
      <c r="S140" s="248"/>
      <c r="T140" s="248"/>
      <c r="U140" s="248"/>
      <c r="V140" s="248"/>
      <c r="W140" s="249"/>
    </row>
    <row r="141" spans="1:23" ht="19.899999999999999" customHeight="1" x14ac:dyDescent="0.2">
      <c r="B141" s="88"/>
      <c r="C141" s="82"/>
      <c r="D141" s="82"/>
      <c r="E141" s="82"/>
      <c r="F141" s="82"/>
      <c r="G141" s="82"/>
      <c r="H141" s="89"/>
      <c r="I141" s="88"/>
      <c r="J141" s="82"/>
      <c r="K141" s="82"/>
      <c r="L141" s="82"/>
      <c r="M141" s="82"/>
      <c r="N141" s="82"/>
      <c r="O141" s="82"/>
      <c r="P141" s="82"/>
      <c r="Q141" s="82"/>
      <c r="R141" s="82"/>
      <c r="S141" s="82"/>
      <c r="T141" s="82"/>
      <c r="U141" s="82"/>
      <c r="V141" s="82"/>
      <c r="W141" s="90"/>
    </row>
    <row r="142" spans="1:23" ht="19.899999999999999" customHeight="1" x14ac:dyDescent="0.2">
      <c r="B142" s="88" t="s">
        <v>35</v>
      </c>
      <c r="C142" s="82"/>
      <c r="D142" s="82"/>
      <c r="E142" s="82"/>
      <c r="F142" s="82"/>
      <c r="G142" s="15"/>
      <c r="H142" s="89"/>
      <c r="I142" s="250" t="s">
        <v>43</v>
      </c>
      <c r="J142" s="251"/>
      <c r="K142" s="251"/>
      <c r="L142" s="251"/>
      <c r="M142" s="251"/>
      <c r="N142" s="251"/>
      <c r="O142" s="251"/>
      <c r="P142" s="251"/>
      <c r="Q142" s="251"/>
      <c r="R142" s="251"/>
      <c r="S142" s="251"/>
      <c r="T142" s="251"/>
      <c r="U142" s="251"/>
      <c r="V142" s="251"/>
      <c r="W142" s="90"/>
    </row>
    <row r="143" spans="1:23" ht="19.899999999999999" customHeight="1" x14ac:dyDescent="0.2">
      <c r="B143" s="88"/>
      <c r="C143" s="82"/>
      <c r="D143" s="82"/>
      <c r="E143" s="82"/>
      <c r="F143" s="82"/>
      <c r="G143" s="82"/>
      <c r="H143" s="89"/>
      <c r="I143" s="250"/>
      <c r="J143" s="251"/>
      <c r="K143" s="251"/>
      <c r="L143" s="251"/>
      <c r="M143" s="251"/>
      <c r="N143" s="251"/>
      <c r="O143" s="251"/>
      <c r="P143" s="251"/>
      <c r="Q143" s="251"/>
      <c r="R143" s="251"/>
      <c r="S143" s="251"/>
      <c r="T143" s="251"/>
      <c r="U143" s="251"/>
      <c r="V143" s="251"/>
      <c r="W143" s="90"/>
    </row>
    <row r="144" spans="1:23" ht="19.899999999999999" customHeight="1" x14ac:dyDescent="0.2">
      <c r="B144" s="88" t="s">
        <v>37</v>
      </c>
      <c r="C144" s="82"/>
      <c r="D144" s="82"/>
      <c r="E144" s="82"/>
      <c r="F144" s="82"/>
      <c r="G144" s="15"/>
      <c r="H144" s="89"/>
      <c r="W144" s="90"/>
    </row>
    <row r="145" spans="2:23" ht="19.899999999999999" customHeight="1" x14ac:dyDescent="0.2">
      <c r="B145" s="88"/>
      <c r="C145" s="82"/>
      <c r="D145" s="82"/>
      <c r="E145" s="82"/>
      <c r="F145" s="82"/>
      <c r="G145" s="82"/>
      <c r="H145" s="89"/>
      <c r="I145" s="56" t="s">
        <v>566</v>
      </c>
      <c r="W145" s="92"/>
    </row>
    <row r="146" spans="2:23" ht="19.899999999999999" customHeight="1" x14ac:dyDescent="0.2">
      <c r="B146" s="88" t="s">
        <v>44</v>
      </c>
      <c r="C146" s="82"/>
      <c r="D146" s="82"/>
      <c r="E146" s="82"/>
      <c r="F146" s="82"/>
      <c r="G146" s="15"/>
      <c r="H146" s="89"/>
      <c r="I146" s="88" t="s">
        <v>567</v>
      </c>
      <c r="J146" s="82"/>
      <c r="K146" s="82"/>
      <c r="L146" s="82"/>
      <c r="M146" s="82"/>
      <c r="N146" s="82"/>
      <c r="O146" s="82"/>
      <c r="P146" s="82"/>
      <c r="Q146" s="82"/>
      <c r="R146" s="82"/>
      <c r="S146" s="82"/>
      <c r="T146" s="82"/>
      <c r="U146" s="82"/>
      <c r="V146" s="82"/>
      <c r="W146" s="92"/>
    </row>
    <row r="147" spans="2:23" ht="19.899999999999999" customHeight="1" x14ac:dyDescent="0.2">
      <c r="B147" s="88"/>
      <c r="C147" s="82"/>
      <c r="D147" s="82"/>
      <c r="E147" s="82"/>
      <c r="F147" s="82"/>
      <c r="G147" s="82"/>
      <c r="H147" s="89"/>
      <c r="I147" s="88"/>
      <c r="J147" s="82"/>
      <c r="K147" s="82"/>
      <c r="L147" s="82"/>
      <c r="M147" s="82"/>
      <c r="N147" s="82"/>
      <c r="O147" s="82"/>
      <c r="P147" s="82"/>
      <c r="Q147" s="82"/>
      <c r="R147" s="82"/>
      <c r="S147" s="82"/>
      <c r="T147" s="82"/>
      <c r="U147" s="82"/>
      <c r="V147" s="82"/>
      <c r="W147" s="92"/>
    </row>
    <row r="148" spans="2:23" ht="19.899999999999999" customHeight="1" x14ac:dyDescent="0.2">
      <c r="B148" s="88" t="s">
        <v>615</v>
      </c>
      <c r="C148" s="82"/>
      <c r="D148" s="82"/>
      <c r="E148" s="82"/>
      <c r="F148" s="82"/>
      <c r="G148" s="15"/>
      <c r="H148" s="89"/>
      <c r="I148" s="88" t="s">
        <v>464</v>
      </c>
      <c r="J148" s="82"/>
      <c r="K148" s="82"/>
      <c r="L148" s="82"/>
      <c r="M148" s="82"/>
      <c r="N148" s="82"/>
      <c r="O148" s="82"/>
      <c r="P148" s="82"/>
      <c r="Q148" s="82"/>
      <c r="R148" s="82"/>
      <c r="S148" s="82"/>
      <c r="T148" s="82"/>
      <c r="U148" s="82"/>
      <c r="V148" s="82"/>
      <c r="W148" s="92"/>
    </row>
    <row r="149" spans="2:23" ht="19.899999999999999" customHeight="1" x14ac:dyDescent="0.2">
      <c r="B149" s="88"/>
      <c r="C149" s="82"/>
      <c r="D149" s="82"/>
      <c r="E149" s="82"/>
      <c r="F149" s="82"/>
      <c r="G149" s="82"/>
      <c r="H149" s="89"/>
      <c r="I149" s="252"/>
      <c r="J149" s="253"/>
      <c r="K149" s="253"/>
      <c r="L149" s="253"/>
      <c r="M149" s="253"/>
      <c r="N149" s="253"/>
      <c r="O149" s="253"/>
      <c r="P149" s="253"/>
      <c r="Q149" s="253"/>
      <c r="R149" s="253"/>
      <c r="S149" s="253"/>
      <c r="T149" s="253"/>
      <c r="U149" s="253"/>
      <c r="V149" s="253"/>
      <c r="W149" s="254"/>
    </row>
    <row r="150" spans="2:23" ht="19.899999999999999" customHeight="1" x14ac:dyDescent="0.2">
      <c r="B150" s="88" t="s">
        <v>720</v>
      </c>
      <c r="C150" s="82"/>
      <c r="D150" s="82"/>
      <c r="E150" s="82"/>
      <c r="F150" s="82"/>
      <c r="G150" s="15"/>
      <c r="H150" s="89"/>
      <c r="I150" s="88"/>
      <c r="J150" s="82"/>
      <c r="K150" s="82"/>
      <c r="L150" s="82"/>
      <c r="M150" s="82"/>
      <c r="N150" s="82"/>
      <c r="O150" s="82"/>
      <c r="P150" s="82"/>
      <c r="Q150" s="82"/>
      <c r="R150" s="82"/>
      <c r="S150" s="82"/>
      <c r="T150" s="82"/>
      <c r="U150" s="82"/>
      <c r="V150" s="82"/>
      <c r="W150" s="90"/>
    </row>
    <row r="151" spans="2:23" ht="19.899999999999999" customHeight="1" x14ac:dyDescent="0.2">
      <c r="B151" s="188"/>
      <c r="C151" s="189"/>
      <c r="D151" s="189"/>
      <c r="E151" s="189"/>
      <c r="F151" s="189"/>
      <c r="G151" s="189"/>
      <c r="H151" s="100"/>
      <c r="I151" s="88"/>
      <c r="J151" s="82"/>
      <c r="K151" s="82"/>
      <c r="L151" s="82"/>
      <c r="M151" s="82"/>
      <c r="N151" s="82"/>
      <c r="O151" s="82"/>
      <c r="P151" s="82"/>
      <c r="Q151" s="82"/>
      <c r="R151" s="82"/>
      <c r="S151" s="82"/>
      <c r="T151" s="82"/>
      <c r="U151" s="82"/>
      <c r="V151" s="82"/>
      <c r="W151" s="90"/>
    </row>
    <row r="152" spans="2:23" ht="19.149999999999999" customHeight="1" x14ac:dyDescent="0.2">
      <c r="B152" s="88" t="s">
        <v>718</v>
      </c>
      <c r="C152" s="82"/>
      <c r="D152" s="82"/>
      <c r="E152" s="82"/>
      <c r="F152" s="82"/>
      <c r="G152" s="15"/>
      <c r="H152" s="100"/>
      <c r="I152" s="88"/>
      <c r="J152" s="82"/>
      <c r="K152" s="82"/>
      <c r="L152" s="82"/>
      <c r="M152" s="82"/>
      <c r="N152" s="82"/>
      <c r="O152" s="82"/>
      <c r="P152" s="82"/>
      <c r="Q152" s="82"/>
      <c r="R152" s="82"/>
      <c r="S152" s="82"/>
      <c r="T152" s="82"/>
      <c r="U152" s="82"/>
      <c r="V152" s="82"/>
      <c r="W152" s="90"/>
    </row>
    <row r="153" spans="2:23" ht="19.149999999999999" customHeight="1" x14ac:dyDescent="0.2">
      <c r="B153" s="188"/>
      <c r="C153" s="189"/>
      <c r="D153" s="189"/>
      <c r="E153" s="189"/>
      <c r="F153" s="189"/>
      <c r="G153" s="189"/>
      <c r="H153" s="100"/>
      <c r="I153" s="88"/>
      <c r="J153" s="82"/>
      <c r="K153" s="82"/>
      <c r="L153" s="82"/>
      <c r="M153" s="82"/>
      <c r="N153" s="82"/>
      <c r="O153" s="82"/>
      <c r="P153" s="82"/>
      <c r="Q153" s="82"/>
      <c r="R153" s="82"/>
      <c r="S153" s="82"/>
      <c r="T153" s="82"/>
      <c r="U153" s="82"/>
      <c r="V153" s="82"/>
      <c r="W153" s="90"/>
    </row>
    <row r="154" spans="2:23" ht="19.149999999999999" customHeight="1" x14ac:dyDescent="0.2">
      <c r="B154" s="88" t="s">
        <v>719</v>
      </c>
      <c r="C154" s="82"/>
      <c r="D154" s="82"/>
      <c r="E154" s="82"/>
      <c r="F154" s="82"/>
      <c r="G154" s="15"/>
      <c r="H154" s="100"/>
      <c r="I154" s="88"/>
      <c r="J154" s="82"/>
      <c r="K154" s="82"/>
      <c r="L154" s="82"/>
      <c r="M154" s="82"/>
      <c r="N154" s="82"/>
      <c r="O154" s="82"/>
      <c r="P154" s="82"/>
      <c r="Q154" s="82"/>
      <c r="R154" s="82"/>
      <c r="S154" s="82"/>
      <c r="T154" s="82"/>
      <c r="U154" s="82"/>
      <c r="V154" s="82"/>
      <c r="W154" s="90"/>
    </row>
    <row r="155" spans="2:23" ht="19.149999999999999" customHeight="1" x14ac:dyDescent="0.2">
      <c r="B155" s="188"/>
      <c r="C155" s="189"/>
      <c r="D155" s="189"/>
      <c r="E155" s="189"/>
      <c r="F155" s="189"/>
      <c r="G155" s="189"/>
      <c r="H155" s="100"/>
      <c r="I155" s="88"/>
      <c r="J155" s="82"/>
      <c r="K155" s="82"/>
      <c r="L155" s="82"/>
      <c r="M155" s="82"/>
      <c r="N155" s="82"/>
      <c r="O155" s="82"/>
      <c r="P155" s="82"/>
      <c r="Q155" s="82"/>
      <c r="R155" s="82"/>
      <c r="S155" s="82"/>
      <c r="T155" s="82"/>
      <c r="U155" s="82"/>
      <c r="V155" s="82"/>
      <c r="W155" s="90"/>
    </row>
    <row r="156" spans="2:23" ht="19.149999999999999" customHeight="1" x14ac:dyDescent="0.2">
      <c r="B156" s="88" t="s">
        <v>723</v>
      </c>
      <c r="C156" s="82"/>
      <c r="D156" s="82"/>
      <c r="E156" s="82"/>
      <c r="F156" s="82"/>
      <c r="G156" s="15"/>
      <c r="H156" s="100"/>
      <c r="I156" s="88"/>
      <c r="J156" s="82"/>
      <c r="K156" s="82"/>
      <c r="L156" s="82"/>
      <c r="M156" s="82"/>
      <c r="N156" s="82"/>
      <c r="O156" s="82"/>
      <c r="P156" s="82"/>
      <c r="Q156" s="82"/>
      <c r="R156" s="82"/>
      <c r="S156" s="82"/>
      <c r="T156" s="82"/>
      <c r="U156" s="82"/>
      <c r="V156" s="82"/>
      <c r="W156" s="90"/>
    </row>
    <row r="157" spans="2:23" ht="19.149999999999999" customHeight="1" x14ac:dyDescent="0.2">
      <c r="B157" s="188"/>
      <c r="C157" s="189"/>
      <c r="D157" s="189"/>
      <c r="E157" s="189"/>
      <c r="F157" s="189"/>
      <c r="G157" s="189"/>
      <c r="H157" s="100"/>
      <c r="I157" s="88"/>
      <c r="J157" s="82"/>
      <c r="K157" s="82"/>
      <c r="L157" s="82"/>
      <c r="M157" s="82"/>
      <c r="N157" s="82"/>
      <c r="O157" s="82"/>
      <c r="P157" s="82"/>
      <c r="Q157" s="82"/>
      <c r="R157" s="82"/>
      <c r="S157" s="82"/>
      <c r="T157" s="82"/>
      <c r="U157" s="82"/>
      <c r="V157" s="82"/>
      <c r="W157" s="90"/>
    </row>
    <row r="158" spans="2:23" ht="19.149999999999999" customHeight="1" x14ac:dyDescent="0.2">
      <c r="B158" s="88" t="s">
        <v>728</v>
      </c>
      <c r="C158" s="82"/>
      <c r="D158" s="82"/>
      <c r="E158" s="82"/>
      <c r="F158" s="82"/>
      <c r="G158" s="15"/>
      <c r="H158" s="100"/>
      <c r="I158" s="88"/>
      <c r="J158" s="82"/>
      <c r="K158" s="82"/>
      <c r="L158" s="82"/>
      <c r="M158" s="82"/>
      <c r="N158" s="82"/>
      <c r="O158" s="82"/>
      <c r="P158" s="82"/>
      <c r="Q158" s="82"/>
      <c r="R158" s="82"/>
      <c r="S158" s="82"/>
      <c r="T158" s="82"/>
      <c r="U158" s="82"/>
      <c r="V158" s="82"/>
      <c r="W158" s="90"/>
    </row>
    <row r="159" spans="2:23" ht="19.149999999999999" customHeight="1" x14ac:dyDescent="0.2">
      <c r="B159" s="188"/>
      <c r="C159" s="189"/>
      <c r="D159" s="189"/>
      <c r="E159" s="189"/>
      <c r="F159" s="189"/>
      <c r="G159" s="189"/>
      <c r="H159" s="100"/>
      <c r="I159" s="88"/>
      <c r="J159" s="82"/>
      <c r="K159" s="82"/>
      <c r="L159" s="82"/>
      <c r="M159" s="82"/>
      <c r="N159" s="82"/>
      <c r="O159" s="82"/>
      <c r="P159" s="82"/>
      <c r="Q159" s="82"/>
      <c r="R159" s="82"/>
      <c r="S159" s="82"/>
      <c r="T159" s="82"/>
      <c r="U159" s="82"/>
      <c r="V159" s="82"/>
      <c r="W159" s="90"/>
    </row>
    <row r="160" spans="2:23" ht="19.149999999999999" customHeight="1" x14ac:dyDescent="0.2">
      <c r="B160" s="193" t="s">
        <v>727</v>
      </c>
      <c r="C160" s="82"/>
      <c r="D160" s="82"/>
      <c r="E160" s="82"/>
      <c r="F160" s="82"/>
      <c r="G160" s="15"/>
      <c r="H160" s="100"/>
      <c r="I160" s="88"/>
      <c r="J160" s="82"/>
      <c r="K160" s="82"/>
      <c r="L160" s="82"/>
      <c r="M160" s="82"/>
      <c r="N160" s="82"/>
      <c r="O160" s="82"/>
      <c r="P160" s="82"/>
      <c r="Q160" s="82"/>
      <c r="R160" s="82"/>
      <c r="S160" s="82"/>
      <c r="T160" s="82"/>
      <c r="U160" s="82"/>
      <c r="V160" s="82"/>
      <c r="W160" s="90"/>
    </row>
    <row r="161" spans="2:23" ht="19.149999999999999" customHeight="1" x14ac:dyDescent="0.2">
      <c r="B161" s="188"/>
      <c r="C161" s="189"/>
      <c r="D161" s="189"/>
      <c r="E161" s="189"/>
      <c r="F161" s="189"/>
      <c r="G161" s="189"/>
      <c r="H161" s="100"/>
      <c r="I161" s="88"/>
      <c r="J161" s="82"/>
      <c r="K161" s="82"/>
      <c r="L161" s="82"/>
      <c r="M161" s="82"/>
      <c r="N161" s="82"/>
      <c r="O161" s="82"/>
      <c r="P161" s="82"/>
      <c r="Q161" s="82"/>
      <c r="R161" s="82"/>
      <c r="S161" s="82"/>
      <c r="T161" s="82"/>
      <c r="U161" s="82"/>
      <c r="V161" s="82"/>
      <c r="W161" s="90"/>
    </row>
    <row r="162" spans="2:23" ht="19.149999999999999" customHeight="1" x14ac:dyDescent="0.2">
      <c r="B162" s="88" t="s">
        <v>726</v>
      </c>
      <c r="C162" s="82"/>
      <c r="D162" s="82"/>
      <c r="E162" s="82"/>
      <c r="F162" s="82"/>
      <c r="G162" s="15"/>
      <c r="H162" s="100"/>
      <c r="I162" s="88"/>
      <c r="J162" s="82"/>
      <c r="K162" s="82"/>
      <c r="L162" s="82"/>
      <c r="M162" s="82"/>
      <c r="N162" s="82"/>
      <c r="O162" s="82"/>
      <c r="P162" s="82"/>
      <c r="Q162" s="82"/>
      <c r="R162" s="82"/>
      <c r="S162" s="82"/>
      <c r="T162" s="82"/>
      <c r="U162" s="82"/>
      <c r="V162" s="82"/>
      <c r="W162" s="90"/>
    </row>
    <row r="163" spans="2:23" ht="19.149999999999999" customHeight="1" x14ac:dyDescent="0.2">
      <c r="B163" s="188"/>
      <c r="C163" s="189"/>
      <c r="D163" s="189"/>
      <c r="E163" s="189"/>
      <c r="F163" s="189"/>
      <c r="G163" s="189"/>
      <c r="H163" s="100"/>
      <c r="I163" s="88"/>
      <c r="J163" s="82"/>
      <c r="K163" s="82"/>
      <c r="L163" s="82"/>
      <c r="M163" s="82"/>
      <c r="N163" s="82"/>
      <c r="O163" s="82"/>
      <c r="P163" s="82"/>
      <c r="Q163" s="82"/>
      <c r="R163" s="82"/>
      <c r="S163" s="82"/>
      <c r="T163" s="82"/>
      <c r="U163" s="82"/>
      <c r="V163" s="82"/>
      <c r="W163" s="90"/>
    </row>
    <row r="164" spans="2:23" ht="19.149999999999999" customHeight="1" x14ac:dyDescent="0.2">
      <c r="B164" s="188"/>
      <c r="C164" s="189"/>
      <c r="D164" s="189"/>
      <c r="E164" s="189"/>
      <c r="F164" s="189"/>
      <c r="G164" s="189"/>
      <c r="H164" s="100"/>
      <c r="I164" s="88"/>
      <c r="J164" s="82"/>
      <c r="K164" s="82"/>
      <c r="L164" s="82"/>
      <c r="M164" s="82"/>
      <c r="N164" s="82"/>
      <c r="O164" s="82"/>
      <c r="P164" s="82"/>
      <c r="Q164" s="82"/>
      <c r="R164" s="82"/>
      <c r="S164" s="82"/>
      <c r="T164" s="82"/>
      <c r="U164" s="82"/>
      <c r="V164" s="82"/>
      <c r="W164" s="90"/>
    </row>
    <row r="165" spans="2:23" ht="19.149999999999999" customHeight="1" x14ac:dyDescent="0.2">
      <c r="B165" s="188"/>
      <c r="C165" s="189"/>
      <c r="D165" s="189"/>
      <c r="E165" s="189"/>
      <c r="F165" s="189"/>
      <c r="G165" s="189"/>
      <c r="H165" s="100"/>
      <c r="I165" s="88"/>
      <c r="J165" s="82"/>
      <c r="K165" s="82"/>
      <c r="L165" s="82"/>
      <c r="M165" s="82"/>
      <c r="N165" s="82"/>
      <c r="O165" s="82"/>
      <c r="P165" s="82"/>
      <c r="Q165" s="82"/>
      <c r="R165" s="82"/>
      <c r="S165" s="82"/>
      <c r="T165" s="82"/>
      <c r="U165" s="82"/>
      <c r="V165" s="82"/>
      <c r="W165" s="90"/>
    </row>
    <row r="166" spans="2:23" ht="19.149999999999999" customHeight="1" x14ac:dyDescent="0.2">
      <c r="B166" s="245" t="s">
        <v>512</v>
      </c>
      <c r="C166" s="246"/>
      <c r="D166" s="246"/>
      <c r="E166" s="246"/>
      <c r="F166" s="246"/>
      <c r="G166" s="246"/>
      <c r="H166" s="100"/>
      <c r="I166" s="88"/>
      <c r="J166" s="82"/>
      <c r="K166" s="82"/>
      <c r="L166" s="82"/>
      <c r="M166" s="82"/>
      <c r="N166" s="82"/>
      <c r="O166" s="82"/>
      <c r="P166" s="82"/>
      <c r="Q166" s="82"/>
      <c r="R166" s="82"/>
      <c r="S166" s="82"/>
      <c r="T166" s="82"/>
      <c r="U166" s="82"/>
      <c r="V166" s="82"/>
      <c r="W166" s="90"/>
    </row>
    <row r="167" spans="2:23" ht="49.15" customHeight="1" x14ac:dyDescent="0.2">
      <c r="B167" s="245"/>
      <c r="C167" s="246"/>
      <c r="D167" s="246"/>
      <c r="E167" s="246"/>
      <c r="F167" s="246"/>
      <c r="G167" s="246"/>
      <c r="H167" s="100"/>
      <c r="I167" s="88"/>
      <c r="J167" s="82"/>
      <c r="K167" s="82"/>
      <c r="L167" s="82"/>
      <c r="M167" s="82"/>
      <c r="N167" s="82"/>
      <c r="O167" s="82"/>
      <c r="P167" s="82"/>
      <c r="Q167" s="82"/>
      <c r="R167" s="82"/>
      <c r="S167" s="82"/>
      <c r="T167" s="82"/>
      <c r="U167" s="82"/>
      <c r="V167" s="82"/>
      <c r="W167" s="90"/>
    </row>
    <row r="168" spans="2:23" ht="19.149999999999999" customHeight="1" x14ac:dyDescent="0.2">
      <c r="B168" s="188"/>
      <c r="C168" s="189"/>
      <c r="D168" s="189"/>
      <c r="E168" s="189"/>
      <c r="F168" s="189"/>
      <c r="G168" s="189"/>
      <c r="H168" s="100"/>
      <c r="I168" s="88"/>
      <c r="J168" s="82"/>
      <c r="K168" s="82"/>
      <c r="L168" s="82"/>
      <c r="M168" s="82"/>
      <c r="N168" s="82"/>
      <c r="O168" s="82"/>
      <c r="P168" s="82"/>
      <c r="Q168" s="82"/>
      <c r="R168" s="82"/>
      <c r="S168" s="82"/>
      <c r="T168" s="82"/>
      <c r="U168" s="82"/>
      <c r="V168" s="82"/>
      <c r="W168" s="90"/>
    </row>
    <row r="169" spans="2:23" ht="19.899999999999999" customHeight="1" x14ac:dyDescent="0.2">
      <c r="B169" s="98"/>
      <c r="C169" s="101"/>
      <c r="D169" s="101"/>
      <c r="E169" s="101"/>
      <c r="F169" s="101"/>
      <c r="G169" s="101"/>
      <c r="H169" s="100"/>
      <c r="I169" s="88"/>
      <c r="J169" s="82"/>
      <c r="K169" s="82"/>
      <c r="L169" s="82"/>
      <c r="M169" s="82"/>
      <c r="N169" s="82"/>
      <c r="O169" s="82"/>
      <c r="P169" s="82"/>
      <c r="Q169" s="82"/>
      <c r="R169" s="82"/>
      <c r="S169" s="82"/>
      <c r="T169" s="82"/>
      <c r="U169" s="82"/>
      <c r="V169" s="82"/>
      <c r="W169" s="90"/>
    </row>
    <row r="170" spans="2:23" ht="19.899999999999999" customHeight="1" x14ac:dyDescent="0.2">
      <c r="B170" s="98"/>
      <c r="C170" s="242"/>
      <c r="D170" s="243"/>
      <c r="E170" s="243"/>
      <c r="F170" s="243"/>
      <c r="G170" s="243"/>
      <c r="H170" s="100"/>
      <c r="I170" s="88"/>
      <c r="J170" s="82"/>
      <c r="K170" s="82"/>
      <c r="L170" s="82"/>
      <c r="M170" s="82"/>
      <c r="N170" s="82"/>
      <c r="O170" s="82"/>
      <c r="P170" s="82"/>
      <c r="Q170" s="82"/>
      <c r="R170" s="82"/>
      <c r="S170" s="82"/>
      <c r="T170" s="82"/>
      <c r="U170" s="82"/>
      <c r="V170" s="82"/>
      <c r="W170" s="90"/>
    </row>
    <row r="171" spans="2:23" ht="19.899999999999999" customHeight="1" x14ac:dyDescent="0.2">
      <c r="B171" s="98"/>
      <c r="C171" s="243"/>
      <c r="D171" s="243"/>
      <c r="E171" s="243"/>
      <c r="F171" s="243"/>
      <c r="G171" s="243"/>
      <c r="H171" s="100"/>
      <c r="I171" s="88"/>
      <c r="J171" s="82"/>
      <c r="K171" s="82"/>
      <c r="L171" s="82"/>
      <c r="M171" s="82"/>
      <c r="N171" s="82"/>
      <c r="O171" s="82"/>
      <c r="P171" s="82"/>
      <c r="Q171" s="82"/>
      <c r="R171" s="82"/>
      <c r="S171" s="82"/>
      <c r="T171" s="82"/>
      <c r="U171" s="82"/>
      <c r="V171" s="82"/>
      <c r="W171" s="90"/>
    </row>
    <row r="172" spans="2:23" ht="19.899999999999999" customHeight="1" x14ac:dyDescent="0.2">
      <c r="B172" s="98"/>
      <c r="C172" s="243"/>
      <c r="D172" s="243"/>
      <c r="E172" s="243"/>
      <c r="F172" s="243"/>
      <c r="G172" s="243"/>
      <c r="H172" s="100"/>
      <c r="I172" s="88"/>
      <c r="J172" s="82"/>
      <c r="K172" s="82"/>
      <c r="L172" s="82"/>
      <c r="M172" s="82"/>
      <c r="N172" s="82"/>
      <c r="O172" s="82"/>
      <c r="P172" s="82"/>
      <c r="Q172" s="82"/>
      <c r="R172" s="82"/>
      <c r="S172" s="82"/>
      <c r="T172" s="82"/>
      <c r="U172" s="82"/>
      <c r="V172" s="82"/>
      <c r="W172" s="90"/>
    </row>
    <row r="173" spans="2:23" ht="19.899999999999999" customHeight="1" x14ac:dyDescent="0.2">
      <c r="B173" s="98"/>
      <c r="C173" s="243"/>
      <c r="D173" s="243"/>
      <c r="E173" s="243"/>
      <c r="F173" s="243"/>
      <c r="G173" s="243"/>
      <c r="H173" s="100"/>
      <c r="I173" s="88"/>
      <c r="J173" s="82"/>
      <c r="K173" s="82"/>
      <c r="L173" s="82"/>
      <c r="M173" s="82"/>
      <c r="N173" s="82"/>
      <c r="O173" s="82"/>
      <c r="P173" s="82"/>
      <c r="Q173" s="82"/>
      <c r="R173" s="82"/>
      <c r="S173" s="82"/>
      <c r="T173" s="82"/>
      <c r="U173" s="82"/>
      <c r="V173" s="82"/>
      <c r="W173" s="90"/>
    </row>
    <row r="174" spans="2:23" ht="19.899999999999999" customHeight="1" x14ac:dyDescent="0.2">
      <c r="B174" s="98"/>
      <c r="C174" s="243"/>
      <c r="D174" s="243"/>
      <c r="E174" s="243"/>
      <c r="F174" s="243"/>
      <c r="G174" s="243"/>
      <c r="H174" s="100"/>
      <c r="I174" s="88"/>
      <c r="J174" s="82"/>
      <c r="K174" s="82"/>
      <c r="L174" s="82"/>
      <c r="M174" s="82"/>
      <c r="N174" s="82"/>
      <c r="O174" s="82"/>
      <c r="P174" s="82"/>
      <c r="Q174" s="82"/>
      <c r="R174" s="82"/>
      <c r="S174" s="82"/>
      <c r="T174" s="82"/>
      <c r="U174" s="82"/>
      <c r="V174" s="82"/>
      <c r="W174" s="90"/>
    </row>
    <row r="175" spans="2:23" ht="19.899999999999999" customHeight="1" x14ac:dyDescent="0.2">
      <c r="B175" s="98"/>
      <c r="C175" s="243"/>
      <c r="D175" s="243"/>
      <c r="E175" s="243"/>
      <c r="F175" s="243"/>
      <c r="G175" s="243"/>
      <c r="H175" s="100"/>
      <c r="I175" s="88"/>
      <c r="J175" s="82"/>
      <c r="K175" s="82"/>
      <c r="L175" s="82"/>
      <c r="M175" s="82"/>
      <c r="N175" s="82"/>
      <c r="O175" s="82"/>
      <c r="P175" s="82"/>
      <c r="Q175" s="82"/>
      <c r="R175" s="82"/>
      <c r="S175" s="82"/>
      <c r="T175" s="82"/>
      <c r="U175" s="82"/>
      <c r="V175" s="82"/>
      <c r="W175" s="90"/>
    </row>
    <row r="176" spans="2:23" ht="19.899999999999999" customHeight="1" x14ac:dyDescent="0.2">
      <c r="B176" s="98"/>
      <c r="C176" s="243"/>
      <c r="D176" s="243"/>
      <c r="E176" s="243"/>
      <c r="F176" s="243"/>
      <c r="G176" s="243"/>
      <c r="H176" s="100"/>
      <c r="I176" s="88"/>
      <c r="J176" s="82"/>
      <c r="K176" s="82"/>
      <c r="L176" s="82"/>
      <c r="M176" s="82"/>
      <c r="N176" s="82"/>
      <c r="O176" s="82"/>
      <c r="P176" s="82"/>
      <c r="Q176" s="82"/>
      <c r="R176" s="82"/>
      <c r="S176" s="82"/>
      <c r="T176" s="82"/>
      <c r="U176" s="82"/>
      <c r="V176" s="82"/>
      <c r="W176" s="90"/>
    </row>
    <row r="177" spans="1:23" ht="19.899999999999999" customHeight="1" x14ac:dyDescent="0.2">
      <c r="B177" s="98"/>
      <c r="C177" s="243"/>
      <c r="D177" s="243"/>
      <c r="E177" s="243"/>
      <c r="F177" s="243"/>
      <c r="G177" s="243"/>
      <c r="H177" s="100"/>
      <c r="I177" s="88"/>
      <c r="J177" s="82"/>
      <c r="K177" s="82"/>
      <c r="L177" s="82"/>
      <c r="M177" s="82"/>
      <c r="N177" s="82"/>
      <c r="O177" s="82"/>
      <c r="P177" s="82"/>
      <c r="Q177" s="82"/>
      <c r="R177" s="82"/>
      <c r="S177" s="82"/>
      <c r="T177" s="82"/>
      <c r="U177" s="82"/>
      <c r="V177" s="82"/>
      <c r="W177" s="90"/>
    </row>
    <row r="178" spans="1:23" ht="19.899999999999999" customHeight="1" thickBot="1" x14ac:dyDescent="0.25">
      <c r="B178" s="102"/>
      <c r="C178" s="103"/>
      <c r="D178" s="103"/>
      <c r="E178" s="103"/>
      <c r="F178" s="103"/>
      <c r="G178" s="103"/>
      <c r="H178" s="104"/>
      <c r="I178" s="105"/>
      <c r="J178" s="106"/>
      <c r="K178" s="106"/>
      <c r="L178" s="106"/>
      <c r="M178" s="106"/>
      <c r="N178" s="106"/>
      <c r="O178" s="106"/>
      <c r="P178" s="106"/>
      <c r="Q178" s="106"/>
      <c r="R178" s="106"/>
      <c r="S178" s="106"/>
      <c r="T178" s="106"/>
      <c r="U178" s="106"/>
      <c r="V178" s="106"/>
      <c r="W178" s="107"/>
    </row>
    <row r="179" spans="1:23" ht="18" customHeight="1" x14ac:dyDescent="0.2">
      <c r="B179" s="177"/>
      <c r="C179" s="177"/>
      <c r="D179" s="177"/>
      <c r="E179" s="177"/>
      <c r="F179" s="177"/>
      <c r="G179" s="177"/>
      <c r="H179" s="177"/>
      <c r="I179" s="177"/>
      <c r="J179" s="177"/>
      <c r="K179" s="177"/>
      <c r="L179" s="177"/>
      <c r="M179" s="177"/>
      <c r="N179" s="186"/>
      <c r="O179" s="186"/>
      <c r="P179" s="186"/>
      <c r="Q179" s="186"/>
      <c r="R179" s="186"/>
      <c r="S179" s="186"/>
      <c r="T179" s="186"/>
      <c r="U179" s="186"/>
      <c r="V179" s="177"/>
    </row>
    <row r="180" spans="1:23" ht="18" customHeight="1" x14ac:dyDescent="0.25">
      <c r="A180" s="71" t="s">
        <v>39</v>
      </c>
      <c r="B180" s="71"/>
    </row>
    <row r="181" spans="1:23" ht="18" customHeight="1" x14ac:dyDescent="0.2">
      <c r="B181" s="255" t="s">
        <v>651</v>
      </c>
      <c r="C181" s="255"/>
      <c r="D181" s="255"/>
      <c r="E181" s="255"/>
      <c r="F181" s="255"/>
      <c r="G181" s="255"/>
      <c r="H181" s="255"/>
      <c r="I181" s="255"/>
      <c r="J181" s="255"/>
      <c r="K181" s="255"/>
      <c r="L181" s="255"/>
      <c r="M181" s="255"/>
      <c r="N181" s="255"/>
      <c r="O181" s="255"/>
      <c r="P181" s="255"/>
      <c r="Q181" s="255"/>
      <c r="R181" s="255"/>
      <c r="S181" s="255"/>
      <c r="T181" s="255"/>
      <c r="U181" s="255"/>
      <c r="V181" s="255"/>
    </row>
    <row r="182" spans="1:23" ht="18" customHeight="1" x14ac:dyDescent="0.2">
      <c r="B182" s="255"/>
      <c r="C182" s="255"/>
      <c r="D182" s="255"/>
      <c r="E182" s="255"/>
      <c r="F182" s="255"/>
      <c r="G182" s="255"/>
      <c r="H182" s="255"/>
      <c r="I182" s="255"/>
      <c r="J182" s="255"/>
      <c r="K182" s="255"/>
      <c r="L182" s="255"/>
      <c r="M182" s="255"/>
      <c r="N182" s="255"/>
      <c r="O182" s="255"/>
      <c r="P182" s="255"/>
      <c r="Q182" s="255"/>
      <c r="R182" s="255"/>
      <c r="S182" s="255"/>
      <c r="T182" s="255"/>
      <c r="U182" s="255"/>
      <c r="V182" s="255"/>
    </row>
    <row r="183" spans="1:23" ht="49.5" customHeight="1" x14ac:dyDescent="0.2">
      <c r="B183" s="255"/>
      <c r="C183" s="255"/>
      <c r="D183" s="255"/>
      <c r="E183" s="255"/>
      <c r="F183" s="255"/>
      <c r="G183" s="255"/>
      <c r="H183" s="255"/>
      <c r="I183" s="255"/>
      <c r="J183" s="255"/>
      <c r="K183" s="255"/>
      <c r="L183" s="255"/>
      <c r="M183" s="255"/>
      <c r="N183" s="255"/>
      <c r="O183" s="255"/>
      <c r="P183" s="255"/>
      <c r="Q183" s="255"/>
      <c r="R183" s="255"/>
      <c r="S183" s="255"/>
      <c r="T183" s="255"/>
      <c r="U183" s="255"/>
      <c r="V183" s="255"/>
    </row>
    <row r="184" spans="1:23" ht="18" customHeight="1" thickBot="1" x14ac:dyDescent="0.25">
      <c r="B184" s="108"/>
    </row>
    <row r="185" spans="1:23" x14ac:dyDescent="0.2">
      <c r="B185" s="110"/>
      <c r="C185" s="110"/>
      <c r="D185" s="110"/>
      <c r="E185" s="110"/>
      <c r="F185" s="110"/>
      <c r="G185" s="110"/>
      <c r="H185" s="57"/>
      <c r="I185" s="57"/>
      <c r="J185" s="57"/>
      <c r="K185" s="57"/>
      <c r="L185" s="57"/>
      <c r="M185" s="57"/>
      <c r="N185" s="57"/>
      <c r="O185" s="57"/>
      <c r="P185" s="57"/>
      <c r="Q185" s="57"/>
      <c r="R185" s="57"/>
      <c r="S185" s="57"/>
      <c r="T185" s="57"/>
      <c r="U185" s="57"/>
      <c r="V185" s="57"/>
    </row>
    <row r="186" spans="1:23" ht="15" x14ac:dyDescent="0.25">
      <c r="B186" s="109" t="s">
        <v>47</v>
      </c>
      <c r="C186" s="72"/>
      <c r="D186" s="72"/>
      <c r="E186" s="72"/>
      <c r="F186" s="72"/>
      <c r="G186" s="72"/>
      <c r="H186" s="72"/>
      <c r="I186" s="72"/>
      <c r="J186" s="72"/>
      <c r="K186" s="72"/>
      <c r="L186" s="72"/>
      <c r="M186" s="72"/>
      <c r="N186" s="72"/>
      <c r="O186" s="72"/>
      <c r="P186" s="72"/>
      <c r="Q186" s="72"/>
      <c r="R186" s="72"/>
      <c r="S186" s="72"/>
      <c r="T186" s="72"/>
      <c r="U186" s="72"/>
      <c r="V186" s="72"/>
    </row>
    <row r="187" spans="1:23" ht="160.15" customHeight="1" thickBot="1" x14ac:dyDescent="0.25">
      <c r="B187" s="244" t="s">
        <v>575</v>
      </c>
      <c r="C187" s="244"/>
      <c r="D187" s="244"/>
      <c r="E187" s="244"/>
      <c r="F187" s="244"/>
      <c r="G187" s="244"/>
      <c r="H187" s="244"/>
      <c r="I187" s="244"/>
      <c r="J187" s="244"/>
      <c r="K187" s="244"/>
      <c r="L187" s="244"/>
      <c r="M187" s="244"/>
      <c r="N187" s="244"/>
      <c r="O187" s="244"/>
      <c r="P187" s="244"/>
      <c r="Q187" s="244"/>
      <c r="R187" s="244"/>
      <c r="S187" s="244"/>
      <c r="T187" s="244"/>
      <c r="U187" s="244"/>
      <c r="V187" s="244"/>
    </row>
    <row r="188" spans="1:23" x14ac:dyDescent="0.2">
      <c r="B188" s="83"/>
      <c r="C188" s="83"/>
      <c r="D188" s="83"/>
      <c r="E188" s="83"/>
      <c r="F188" s="83"/>
      <c r="G188" s="83"/>
    </row>
    <row r="189" spans="1:23" ht="15" x14ac:dyDescent="0.2">
      <c r="B189" s="111" t="s">
        <v>554</v>
      </c>
      <c r="C189" s="112"/>
      <c r="D189" s="112"/>
      <c r="E189" s="83"/>
      <c r="F189" s="83"/>
      <c r="G189" s="83"/>
    </row>
    <row r="190" spans="1:23" ht="56.65" customHeight="1" x14ac:dyDescent="0.2">
      <c r="B190" s="241" t="s">
        <v>613</v>
      </c>
      <c r="C190" s="241"/>
      <c r="D190" s="241"/>
      <c r="E190" s="83"/>
      <c r="F190" s="83"/>
      <c r="G190" s="83"/>
    </row>
    <row r="191" spans="1:23" x14ac:dyDescent="0.2">
      <c r="B191" s="83"/>
      <c r="C191" s="83"/>
      <c r="D191" s="83"/>
      <c r="E191" s="83"/>
      <c r="F191" s="83"/>
      <c r="G191" s="83"/>
    </row>
    <row r="192" spans="1:23" x14ac:dyDescent="0.2">
      <c r="B192" s="83"/>
      <c r="C192" s="83"/>
      <c r="D192" s="83"/>
      <c r="E192" s="83"/>
      <c r="F192" s="83"/>
      <c r="G192" s="83"/>
    </row>
    <row r="193" spans="2:7" x14ac:dyDescent="0.2">
      <c r="B193" s="83"/>
      <c r="C193" s="83"/>
      <c r="D193" s="83"/>
      <c r="E193" s="83"/>
      <c r="F193" s="83"/>
      <c r="G193" s="83"/>
    </row>
    <row r="194" spans="2:7" x14ac:dyDescent="0.2">
      <c r="B194" s="83"/>
      <c r="C194" s="83"/>
      <c r="D194" s="83"/>
      <c r="E194" s="83"/>
      <c r="F194" s="83"/>
      <c r="G194" s="83"/>
    </row>
    <row r="195" spans="2:7" x14ac:dyDescent="0.2">
      <c r="B195" s="83"/>
      <c r="C195" s="83"/>
      <c r="D195" s="83"/>
      <c r="E195" s="83"/>
      <c r="F195" s="83"/>
      <c r="G195" s="83"/>
    </row>
    <row r="196" spans="2:7" x14ac:dyDescent="0.2">
      <c r="B196" s="83"/>
      <c r="C196" s="83"/>
      <c r="D196" s="83"/>
      <c r="E196" s="83"/>
      <c r="F196" s="83"/>
      <c r="G196" s="83"/>
    </row>
    <row r="197" spans="2:7" x14ac:dyDescent="0.2">
      <c r="B197" s="83"/>
      <c r="C197" s="83"/>
      <c r="D197" s="83"/>
      <c r="E197" s="83"/>
      <c r="F197" s="83"/>
      <c r="G197" s="83"/>
    </row>
    <row r="198" spans="2:7" x14ac:dyDescent="0.2">
      <c r="B198" s="83"/>
      <c r="C198" s="83"/>
      <c r="D198" s="83"/>
      <c r="E198" s="83"/>
      <c r="F198" s="83"/>
      <c r="G198" s="83"/>
    </row>
    <row r="199" spans="2:7" x14ac:dyDescent="0.2">
      <c r="B199" s="83"/>
      <c r="C199" s="83"/>
      <c r="D199" s="83"/>
      <c r="E199" s="83"/>
      <c r="F199" s="83"/>
      <c r="G199" s="83"/>
    </row>
    <row r="200" spans="2:7" x14ac:dyDescent="0.2">
      <c r="B200" s="83"/>
      <c r="C200" s="83"/>
      <c r="D200" s="83"/>
      <c r="E200" s="83"/>
      <c r="F200" s="83"/>
      <c r="G200" s="83"/>
    </row>
    <row r="201" spans="2:7" x14ac:dyDescent="0.2">
      <c r="B201" s="83"/>
      <c r="C201" s="83"/>
      <c r="D201" s="83"/>
      <c r="E201" s="83"/>
      <c r="F201" s="83"/>
      <c r="G201" s="83"/>
    </row>
    <row r="202" spans="2:7" x14ac:dyDescent="0.2">
      <c r="B202" s="83"/>
      <c r="C202" s="83"/>
      <c r="D202" s="83"/>
      <c r="E202" s="83"/>
      <c r="F202" s="83"/>
      <c r="G202" s="83"/>
    </row>
    <row r="203" spans="2:7" x14ac:dyDescent="0.2">
      <c r="B203" s="83"/>
      <c r="C203" s="83"/>
      <c r="D203" s="83"/>
      <c r="E203" s="83"/>
      <c r="F203" s="83"/>
      <c r="G203" s="83"/>
    </row>
    <row r="204" spans="2:7" x14ac:dyDescent="0.2">
      <c r="B204" s="83"/>
      <c r="C204" s="83"/>
      <c r="D204" s="83"/>
      <c r="E204" s="83"/>
      <c r="F204" s="83"/>
      <c r="G204" s="83"/>
    </row>
  </sheetData>
  <mergeCells count="36">
    <mergeCell ref="B78:M84"/>
    <mergeCell ref="C122:G129"/>
    <mergeCell ref="B118:G119"/>
    <mergeCell ref="B48:F49"/>
    <mergeCell ref="I48:V50"/>
    <mergeCell ref="I103:V105"/>
    <mergeCell ref="B9:G9"/>
    <mergeCell ref="B10:V10"/>
    <mergeCell ref="B13:G13"/>
    <mergeCell ref="B17:G17"/>
    <mergeCell ref="B14:V14"/>
    <mergeCell ref="I39:V43"/>
    <mergeCell ref="D32:F32"/>
    <mergeCell ref="B32:C32"/>
    <mergeCell ref="B19:F19"/>
    <mergeCell ref="I46:W46"/>
    <mergeCell ref="B37:H37"/>
    <mergeCell ref="I37:W37"/>
    <mergeCell ref="I23:V24"/>
    <mergeCell ref="B23:G28"/>
    <mergeCell ref="B190:D190"/>
    <mergeCell ref="C64:G71"/>
    <mergeCell ref="B187:V187"/>
    <mergeCell ref="B61:G62"/>
    <mergeCell ref="B91:H91"/>
    <mergeCell ref="I91:W91"/>
    <mergeCell ref="I93:V94"/>
    <mergeCell ref="I100:W100"/>
    <mergeCell ref="I142:V143"/>
    <mergeCell ref="I149:W149"/>
    <mergeCell ref="C170:G177"/>
    <mergeCell ref="B181:V183"/>
    <mergeCell ref="B166:G167"/>
    <mergeCell ref="B133:V134"/>
    <mergeCell ref="B140:H140"/>
    <mergeCell ref="I140:W140"/>
  </mergeCells>
  <phoneticPr fontId="11"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lease select if the organisational boundary has been included in the measurement" xr:uid="{191221E9-17D0-4106-8893-9FF23E07D30D}">
          <x14:formula1>
            <xm:f>'List Tab'!$L$4:$L$6</xm:f>
          </x14:formula1>
          <xm:sqref>G56 G54 G41 G52 G47 G39 G45 G43 G95 G93 G99 G97 G144 G142 G148 G146 G150 G152 G154 G156 G158 G162 G105 G107 G109 G111 G113 G115 G160 G101</xm:sqref>
        </x14:dataValidation>
        <x14:dataValidation type="list" allowBlank="1" showInputMessage="1" showErrorMessage="1" promptTitle="Control Boundary" prompt="Please select reporting control boundary" xr:uid="{AD5507B6-E146-4A8F-ADBA-1BBAEA4E16D7}">
          <x14:formula1>
            <xm:f>'List Tab'!$P$4:$P$6</xm:f>
          </x14:formula1>
          <xm:sqref>D32</xm:sqref>
        </x14:dataValidation>
        <x14:dataValidation type="list" allowBlank="1" showInputMessage="1" showErrorMessage="1" prompt="Please select if the organisational boundary has been included in the measurement" xr:uid="{65D2B6CE-8826-4EFA-8241-C2FB7AFC4653}">
          <x14:formula1>
            <xm:f>'List Tab'!$N$4:$N$6</xm:f>
          </x14:formula1>
          <xm:sqref>G50 G103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8E00A-CACE-4659-8914-E2066D6D419F}">
  <sheetPr>
    <tabColor rgb="FF00C18B"/>
  </sheetPr>
  <dimension ref="B1:K101"/>
  <sheetViews>
    <sheetView showGridLines="0" topLeftCell="A70" zoomScaleNormal="100" workbookViewId="0">
      <selection activeCell="B47" sqref="B47"/>
    </sheetView>
  </sheetViews>
  <sheetFormatPr defaultColWidth="8.75" defaultRowHeight="14.25" x14ac:dyDescent="0.2"/>
  <cols>
    <col min="1" max="1" width="8.75" style="56"/>
    <col min="2" max="2" width="35.75" style="56" bestFit="1" customWidth="1"/>
    <col min="3" max="3" width="28.75" style="56" bestFit="1" customWidth="1"/>
    <col min="4" max="4" width="18.5" style="56" bestFit="1" customWidth="1"/>
    <col min="5" max="5" width="13.125" style="56" bestFit="1" customWidth="1"/>
    <col min="6" max="6" width="13" style="56" bestFit="1" customWidth="1"/>
    <col min="7" max="7" width="23" style="56" bestFit="1" customWidth="1"/>
    <col min="8" max="16384" width="8.75" style="56"/>
  </cols>
  <sheetData>
    <row r="1" spans="2:7" s="60" customFormat="1" x14ac:dyDescent="0.2"/>
    <row r="2" spans="2:7" s="60" customFormat="1" x14ac:dyDescent="0.2"/>
    <row r="3" spans="2:7" s="60" customFormat="1" x14ac:dyDescent="0.2"/>
    <row r="4" spans="2:7" s="60" customFormat="1" x14ac:dyDescent="0.2">
      <c r="F4" s="56"/>
      <c r="G4" s="56"/>
    </row>
    <row r="5" spans="2:7" s="60" customFormat="1" x14ac:dyDescent="0.2">
      <c r="F5" s="56"/>
      <c r="G5" s="56"/>
    </row>
    <row r="6" spans="2:7" s="60" customFormat="1" x14ac:dyDescent="0.2">
      <c r="F6" s="56"/>
      <c r="G6" s="56"/>
    </row>
    <row r="7" spans="2:7" s="60" customFormat="1" ht="15" x14ac:dyDescent="0.2">
      <c r="B7" s="113" t="s">
        <v>553</v>
      </c>
      <c r="F7" s="56"/>
      <c r="G7" s="56"/>
    </row>
    <row r="8" spans="2:7" s="60" customFormat="1" x14ac:dyDescent="0.2">
      <c r="B8" s="59" t="s">
        <v>466</v>
      </c>
      <c r="C8" s="114"/>
      <c r="F8" s="56"/>
      <c r="G8" s="56"/>
    </row>
    <row r="9" spans="2:7" s="60" customFormat="1" x14ac:dyDescent="0.2">
      <c r="B9" s="61" t="s">
        <v>469</v>
      </c>
      <c r="C9" s="115"/>
      <c r="F9" s="56"/>
      <c r="G9" s="56"/>
    </row>
    <row r="10" spans="2:7" s="60" customFormat="1" x14ac:dyDescent="0.2">
      <c r="B10" s="62" t="s">
        <v>467</v>
      </c>
      <c r="C10" s="115"/>
      <c r="F10" s="56"/>
      <c r="G10" s="56"/>
    </row>
    <row r="11" spans="2:7" ht="15" thickBot="1" x14ac:dyDescent="0.25">
      <c r="B11" s="60"/>
      <c r="C11" s="116"/>
      <c r="D11" s="60"/>
      <c r="E11" s="60"/>
      <c r="F11" s="60"/>
      <c r="G11" s="60"/>
    </row>
    <row r="12" spans="2:7" x14ac:dyDescent="0.2">
      <c r="B12" s="117"/>
      <c r="C12" s="117"/>
      <c r="D12" s="117"/>
      <c r="E12" s="117"/>
      <c r="F12" s="117"/>
      <c r="G12" s="117"/>
    </row>
    <row r="13" spans="2:7" ht="20.25" x14ac:dyDescent="0.2">
      <c r="B13" s="118" t="s">
        <v>49</v>
      </c>
      <c r="C13" s="119"/>
      <c r="D13" s="119"/>
      <c r="E13" s="119"/>
      <c r="F13" s="119"/>
      <c r="G13" s="119"/>
    </row>
    <row r="14" spans="2:7" x14ac:dyDescent="0.2">
      <c r="B14" s="120" t="s">
        <v>458</v>
      </c>
      <c r="C14" s="119"/>
      <c r="D14" s="119"/>
      <c r="E14" s="119"/>
      <c r="F14" s="119"/>
      <c r="G14" s="119"/>
    </row>
    <row r="15" spans="2:7" x14ac:dyDescent="0.2">
      <c r="B15" s="119"/>
      <c r="C15" s="119"/>
      <c r="D15" s="119"/>
      <c r="E15" s="119"/>
      <c r="F15" s="119"/>
      <c r="G15" s="119"/>
    </row>
    <row r="16" spans="2:7" ht="31.5" x14ac:dyDescent="0.2">
      <c r="B16" s="121" t="s">
        <v>58</v>
      </c>
      <c r="C16" s="122" t="s">
        <v>525</v>
      </c>
      <c r="D16" s="121" t="s">
        <v>59</v>
      </c>
      <c r="E16" s="123" t="s">
        <v>60</v>
      </c>
      <c r="F16" s="122" t="s">
        <v>61</v>
      </c>
      <c r="G16" s="122" t="s">
        <v>576</v>
      </c>
    </row>
    <row r="17" spans="2:7" x14ac:dyDescent="0.2">
      <c r="B17" s="124" t="s">
        <v>7</v>
      </c>
      <c r="C17" s="125" t="s">
        <v>24</v>
      </c>
      <c r="D17" s="126" t="str">
        <f>IF(Overview!$C$15="","",Overview!$C$15)</f>
        <v>2019-20</v>
      </c>
      <c r="E17" s="55">
        <v>21766085.613621011</v>
      </c>
      <c r="F17" s="127">
        <f>IFERROR(VLOOKUP(Overview!$C$15,'GHG Emission Factors'!$B:$DJ,3,0),"")</f>
        <v>0.18385000000000001</v>
      </c>
      <c r="G17" s="128">
        <f>IF(E17="","Enter Consumption Figure",(E17*F17)/1000)</f>
        <v>4001.6948400642232</v>
      </c>
    </row>
    <row r="18" spans="2:7" x14ac:dyDescent="0.2">
      <c r="B18" s="124" t="s">
        <v>449</v>
      </c>
      <c r="C18" s="18" t="s">
        <v>24</v>
      </c>
      <c r="D18" s="126" t="str">
        <f>IF(Overview!$C$15="","",Overview!$C$15)</f>
        <v>2019-20</v>
      </c>
      <c r="E18" s="55"/>
      <c r="F18" s="127">
        <f>IF(C18="kWh (Gross CV)",VLOOKUP(Overview!$C$15,'GHG Emission Factors'!$B:$DJ,4,0),VLOOKUP(Overview!$C$15,'GHG Emission Factors'!$B:$DJ,11,0))</f>
        <v>0.24675</v>
      </c>
      <c r="G18" s="128" t="str">
        <f t="shared" ref="G18:G20" si="0">IF(E18="","Enter Consumption Figure",(E18*F18)/1000)</f>
        <v>Enter Consumption Figure</v>
      </c>
    </row>
    <row r="19" spans="2:7" x14ac:dyDescent="0.2">
      <c r="B19" s="124" t="s">
        <v>450</v>
      </c>
      <c r="C19" s="18" t="s">
        <v>24</v>
      </c>
      <c r="D19" s="126" t="str">
        <f>IF(Overview!$C$15="","",Overview!$C$15)</f>
        <v>2019-20</v>
      </c>
      <c r="E19" s="55"/>
      <c r="F19" s="127">
        <f>IF(C19="kWh (Gross CV)",VLOOKUP(Overview!$C$15,'GHG Emission Factors'!$B:$DJ,5,0),VLOOKUP(Overview!$C$15,'GHG Emission Factors'!$B:$DJ,12,0))</f>
        <v>0.25675999999999999</v>
      </c>
      <c r="G19" s="128" t="str">
        <f t="shared" si="0"/>
        <v>Enter Consumption Figure</v>
      </c>
    </row>
    <row r="20" spans="2:7" x14ac:dyDescent="0.2">
      <c r="B20" s="124" t="s">
        <v>451</v>
      </c>
      <c r="C20" s="125" t="s">
        <v>24</v>
      </c>
      <c r="D20" s="126" t="str">
        <f>IF(Overview!$C$15="","",Overview!$C$15)</f>
        <v>2019-20</v>
      </c>
      <c r="E20" s="55"/>
      <c r="F20" s="127">
        <f>IFERROR(VLOOKUP(Overview!$C$15,'GHG Emission Factors'!$B:$DJ,6,0),"")</f>
        <v>1.5630000000000002E-2</v>
      </c>
      <c r="G20" s="128" t="str">
        <f t="shared" si="0"/>
        <v>Enter Consumption Figure</v>
      </c>
    </row>
    <row r="21" spans="2:7" x14ac:dyDescent="0.2">
      <c r="B21" s="130" t="s">
        <v>649</v>
      </c>
      <c r="C21" s="125" t="s">
        <v>24</v>
      </c>
      <c r="D21" s="126" t="str">
        <f>IF(Overview!$C$15="","",Overview!$C$15)</f>
        <v>2019-20</v>
      </c>
      <c r="E21" s="55"/>
      <c r="F21" s="127">
        <f>IFERROR(VLOOKUP(Overview!$C$15,'GHG Emission Factors'!$B:$DJ,7,0),"")</f>
        <v>1.5630000000000002E-2</v>
      </c>
      <c r="G21" s="128" t="str">
        <f>IF(E21="","Enter Consumption Figure",(E21*F21)/1000)</f>
        <v>Enter Consumption Figure</v>
      </c>
    </row>
    <row r="22" spans="2:7" x14ac:dyDescent="0.2">
      <c r="B22" s="190" t="s">
        <v>617</v>
      </c>
      <c r="C22" s="150" t="s">
        <v>24</v>
      </c>
      <c r="D22" s="151" t="str">
        <f>IF(Overview!$C$15="","",Overview!$C$15)</f>
        <v>2019-20</v>
      </c>
      <c r="E22" s="55"/>
      <c r="F22" s="152">
        <f>IFERROR(VLOOKUP(Overview!$C$15,'GHG Emission Factors'!$B:$DJ,8,0),"")</f>
        <v>0.21446999999999999</v>
      </c>
      <c r="G22" s="153" t="str">
        <f>IF(E22="","Enter Consumption Figure",(E22*F22)/1000)</f>
        <v>Enter Consumption Figure</v>
      </c>
    </row>
    <row r="23" spans="2:7" x14ac:dyDescent="0.2">
      <c r="B23" s="190" t="s">
        <v>737</v>
      </c>
      <c r="C23" s="150" t="s">
        <v>24</v>
      </c>
      <c r="D23" s="151" t="str">
        <f>IF(Overview!$C$15="","",Overview!$C$15)</f>
        <v>2019-20</v>
      </c>
      <c r="E23" s="55"/>
      <c r="F23" s="152">
        <f>IFERROR(VLOOKUP(Overview!$C$15,'GHG Emission Factors'!$B:$DJ,9,0),"")</f>
        <v>0.21410999999999999</v>
      </c>
      <c r="G23" s="153" t="str">
        <f>IF(E23="","Enter Consumption Figure",(E23*F23)/1000)</f>
        <v>Enter Consumption Figure</v>
      </c>
    </row>
    <row r="24" spans="2:7" x14ac:dyDescent="0.2">
      <c r="B24" s="190" t="s">
        <v>619</v>
      </c>
      <c r="C24" s="150" t="s">
        <v>24</v>
      </c>
      <c r="D24" s="151" t="str">
        <f>IF(Overview!$C$15="","",Overview!$C$15)</f>
        <v>2019-20</v>
      </c>
      <c r="E24" s="55"/>
      <c r="F24" s="152">
        <f>IFERROR(VLOOKUP(Overview!$C$15,'GHG Emission Factors'!$B:$DJ,10,0),"")</f>
        <v>0.30560999999999999</v>
      </c>
      <c r="G24" s="153" t="str">
        <f>IF(E24="","Enter Consumption Figure",(E24*F24)/1000)</f>
        <v>Enter Consumption Figure</v>
      </c>
    </row>
    <row r="25" spans="2:7" x14ac:dyDescent="0.2">
      <c r="B25" s="119"/>
      <c r="C25" s="129"/>
      <c r="D25" s="129"/>
      <c r="E25" s="119"/>
      <c r="F25" s="129"/>
      <c r="G25" s="129"/>
    </row>
    <row r="26" spans="2:7" x14ac:dyDescent="0.2">
      <c r="B26" s="120" t="s">
        <v>510</v>
      </c>
      <c r="C26" s="119"/>
      <c r="D26" s="119"/>
      <c r="E26" s="119"/>
      <c r="F26" s="119"/>
      <c r="G26" s="119"/>
    </row>
    <row r="27" spans="2:7" x14ac:dyDescent="0.2">
      <c r="B27" s="119"/>
      <c r="C27" s="119"/>
      <c r="D27" s="119"/>
      <c r="E27" s="119"/>
      <c r="F27" s="119"/>
      <c r="G27" s="119"/>
    </row>
    <row r="28" spans="2:7" ht="60" x14ac:dyDescent="0.2">
      <c r="B28" s="122" t="s">
        <v>579</v>
      </c>
      <c r="C28" s="121" t="s">
        <v>455</v>
      </c>
      <c r="D28" s="121" t="s">
        <v>59</v>
      </c>
      <c r="E28" s="123" t="s">
        <v>60</v>
      </c>
      <c r="F28" s="122" t="s">
        <v>61</v>
      </c>
      <c r="G28" s="122" t="s">
        <v>576</v>
      </c>
    </row>
    <row r="29" spans="2:7" x14ac:dyDescent="0.2">
      <c r="B29" s="130" t="s">
        <v>592</v>
      </c>
      <c r="C29" s="131" t="s">
        <v>581</v>
      </c>
      <c r="D29" s="126" t="str">
        <f>IF(Overview!$C$15="","",Overview!$C$15)</f>
        <v>2019-20</v>
      </c>
      <c r="E29" s="55"/>
      <c r="F29" s="132">
        <f>IFERROR(VLOOKUP(Overview!$C$15,'GHG Emission Factors'!$B:$DJ,13,0),"")</f>
        <v>675</v>
      </c>
      <c r="G29" s="128" t="str">
        <f t="shared" ref="G29:G31" si="1">IF(E29="","Enter Consumption Figure",(E29*F29)/1000)</f>
        <v>Enter Consumption Figure</v>
      </c>
    </row>
    <row r="30" spans="2:7" x14ac:dyDescent="0.2">
      <c r="B30" s="130" t="s">
        <v>580</v>
      </c>
      <c r="C30" s="131" t="s">
        <v>581</v>
      </c>
      <c r="D30" s="126" t="str">
        <f>IF(Overview!$C$15="","",Overview!$C$15)</f>
        <v>2019-20</v>
      </c>
      <c r="E30" s="55"/>
      <c r="F30" s="132">
        <f>IFERROR(VLOOKUP(Overview!$C$15,'GHG Emission Factors'!$B:$DJ,14,0),"")</f>
        <v>2088</v>
      </c>
      <c r="G30" s="128" t="str">
        <f t="shared" si="1"/>
        <v>Enter Consumption Figure</v>
      </c>
    </row>
    <row r="31" spans="2:7" x14ac:dyDescent="0.2">
      <c r="B31" s="130" t="s">
        <v>590</v>
      </c>
      <c r="C31" s="131" t="s">
        <v>581</v>
      </c>
      <c r="D31" s="126" t="str">
        <f>IF(Overview!$C$15="","",Overview!$C$15)</f>
        <v>2019-20</v>
      </c>
      <c r="E31" s="55"/>
      <c r="F31" s="132">
        <f>IFERROR(VLOOKUP(Overview!$C$15,'GHG Emission Factors'!$B:$DJ,15,0),"")</f>
        <v>1810</v>
      </c>
      <c r="G31" s="128" t="str">
        <f t="shared" si="1"/>
        <v>Enter Consumption Figure</v>
      </c>
    </row>
    <row r="32" spans="2:7" x14ac:dyDescent="0.2">
      <c r="B32" s="140" t="s">
        <v>647</v>
      </c>
      <c r="C32" s="140"/>
      <c r="D32" s="126" t="str">
        <f>IF(Overview!$C$15="","",Overview!$C$15)</f>
        <v>2019-20</v>
      </c>
      <c r="E32" s="55"/>
      <c r="F32" s="55"/>
      <c r="G32" s="55"/>
    </row>
    <row r="33" spans="2:11" x14ac:dyDescent="0.2">
      <c r="B33" s="140" t="s">
        <v>647</v>
      </c>
      <c r="C33" s="140"/>
      <c r="D33" s="126" t="str">
        <f>IF(Overview!$C$15="","",Overview!$C$15)</f>
        <v>2019-20</v>
      </c>
      <c r="E33" s="55"/>
      <c r="F33" s="55"/>
      <c r="G33" s="55"/>
    </row>
    <row r="34" spans="2:11" x14ac:dyDescent="0.2">
      <c r="B34" s="140" t="s">
        <v>647</v>
      </c>
      <c r="C34" s="140"/>
      <c r="D34" s="126" t="str">
        <f>IF(Overview!$C$15="","",Overview!$C$15)</f>
        <v>2019-20</v>
      </c>
      <c r="E34" s="55"/>
      <c r="F34" s="55"/>
      <c r="G34" s="55"/>
    </row>
    <row r="35" spans="2:11" x14ac:dyDescent="0.2">
      <c r="B35" s="140" t="s">
        <v>647</v>
      </c>
      <c r="C35" s="140"/>
      <c r="D35" s="126" t="str">
        <f>IF(Overview!$C$15="","",Overview!$C$15)</f>
        <v>2019-20</v>
      </c>
      <c r="E35" s="55"/>
      <c r="F35" s="55"/>
      <c r="G35" s="55"/>
    </row>
    <row r="36" spans="2:11" x14ac:dyDescent="0.2">
      <c r="B36" s="140" t="s">
        <v>647</v>
      </c>
      <c r="C36" s="140"/>
      <c r="D36" s="126" t="str">
        <f>IF(Overview!$C$15="","",Overview!$C$15)</f>
        <v>2019-20</v>
      </c>
      <c r="E36" s="55"/>
      <c r="F36" s="54"/>
      <c r="G36" s="19"/>
    </row>
    <row r="37" spans="2:11" x14ac:dyDescent="0.2">
      <c r="B37" s="119"/>
      <c r="C37" s="129"/>
      <c r="D37" s="129"/>
      <c r="E37" s="119"/>
      <c r="F37" s="129"/>
      <c r="G37" s="129"/>
    </row>
    <row r="38" spans="2:11" x14ac:dyDescent="0.2">
      <c r="B38" s="120" t="s">
        <v>506</v>
      </c>
      <c r="C38" s="129"/>
      <c r="D38" s="129"/>
      <c r="E38" s="119"/>
      <c r="F38" s="129"/>
      <c r="G38" s="129"/>
    </row>
    <row r="39" spans="2:11" x14ac:dyDescent="0.2">
      <c r="B39" s="119"/>
      <c r="C39" s="129"/>
      <c r="D39" s="129"/>
      <c r="E39" s="119"/>
      <c r="F39" s="129"/>
      <c r="G39" s="129"/>
    </row>
    <row r="40" spans="2:11" ht="45" x14ac:dyDescent="0.2">
      <c r="B40" s="122" t="s">
        <v>509</v>
      </c>
      <c r="C40" s="122" t="s">
        <v>525</v>
      </c>
      <c r="D40" s="121" t="s">
        <v>59</v>
      </c>
      <c r="E40" s="123" t="s">
        <v>60</v>
      </c>
      <c r="F40" s="122" t="s">
        <v>61</v>
      </c>
      <c r="G40" s="122" t="s">
        <v>576</v>
      </c>
      <c r="K40" s="72"/>
    </row>
    <row r="41" spans="2:11" x14ac:dyDescent="0.2">
      <c r="B41" s="124" t="s">
        <v>472</v>
      </c>
      <c r="C41" s="18" t="s">
        <v>25</v>
      </c>
      <c r="D41" s="126" t="str">
        <f>IF(Overview!$C$15="","",Overview!$C$15)</f>
        <v>2019-20</v>
      </c>
      <c r="E41" s="55"/>
      <c r="F41" s="127">
        <f>IF(C41="Miles",VLOOKUP(Overview!$C$15,'GHG Emission Factors'!$B:$DJ,16,0),VLOOKUP(Overview!$C$15,'GHG Emission Factors'!$B:$DJ,41,0))</f>
        <v>0.22868000000000002</v>
      </c>
      <c r="G41" s="128" t="str">
        <f t="shared" ref="G41:G67" si="2">IF(E41="","Enter Consumption Figure",(E41*F41)/1000)</f>
        <v>Enter Consumption Figure</v>
      </c>
    </row>
    <row r="42" spans="2:11" x14ac:dyDescent="0.2">
      <c r="B42" s="124" t="s">
        <v>476</v>
      </c>
      <c r="C42" s="18" t="s">
        <v>25</v>
      </c>
      <c r="D42" s="126" t="str">
        <f>IF(Overview!$C$15="","",Overview!$C$15)</f>
        <v>2019-20</v>
      </c>
      <c r="E42" s="55"/>
      <c r="F42" s="127">
        <f>IF(C42="Miles",VLOOKUP(Overview!$C$15,'GHG Emission Factors'!$B:$DJ,17,0),VLOOKUP(Overview!$C$15,'GHG Emission Factors'!$B:$DJ,41,0))</f>
        <v>0.27459</v>
      </c>
      <c r="G42" s="128" t="str">
        <f t="shared" si="2"/>
        <v>Enter Consumption Figure</v>
      </c>
    </row>
    <row r="43" spans="2:11" x14ac:dyDescent="0.2">
      <c r="B43" s="124" t="s">
        <v>519</v>
      </c>
      <c r="C43" s="18" t="s">
        <v>25</v>
      </c>
      <c r="D43" s="126" t="str">
        <f>IF(Overview!$C$15="","",Overview!$C$15)</f>
        <v>2019-20</v>
      </c>
      <c r="E43" s="55"/>
      <c r="F43" s="127">
        <f>IF(C43="Miles",VLOOKUP(Overview!$C$15,'GHG Emission Factors'!$B:$DJ,18,0),VLOOKUP(Overview!$C$15,'GHG Emission Factors'!$B:$DJ,41,0))</f>
        <v>0.33712999999999999</v>
      </c>
      <c r="G43" s="128" t="str">
        <f t="shared" si="2"/>
        <v>Enter Consumption Figure</v>
      </c>
    </row>
    <row r="44" spans="2:11" x14ac:dyDescent="0.2">
      <c r="B44" s="124" t="s">
        <v>515</v>
      </c>
      <c r="C44" s="18" t="s">
        <v>25</v>
      </c>
      <c r="D44" s="126" t="str">
        <f>IF(Overview!$C$15="","",Overview!$C$15)</f>
        <v>2019-20</v>
      </c>
      <c r="E44" s="55"/>
      <c r="F44" s="127">
        <f>IF(C44="Miles",VLOOKUP(Overview!$C$15,'GHG Emission Factors'!$B:$DJ,19,0),VLOOKUP(Overview!$C$15,'GHG Emission Factors'!$B:$DJ,41,0))</f>
        <v>0.29132999999999998</v>
      </c>
      <c r="G44" s="128" t="str">
        <f t="shared" si="2"/>
        <v>Enter Consumption Figure</v>
      </c>
    </row>
    <row r="45" spans="2:11" x14ac:dyDescent="0.2">
      <c r="B45" s="124" t="s">
        <v>477</v>
      </c>
      <c r="C45" s="18" t="s">
        <v>25</v>
      </c>
      <c r="D45" s="126" t="str">
        <f>IF(Overview!$C$15="","",Overview!$C$15)</f>
        <v>2019-20</v>
      </c>
      <c r="E45" s="55"/>
      <c r="F45" s="127">
        <f>IF(C45="Miles",VLOOKUP(Overview!$C$15,'GHG Emission Factors'!$B:$DJ,20,0),VLOOKUP(Overview!$C$15,'GHG Emission Factors'!$B:$DJ,41,0))</f>
        <v>0.24068000000000001</v>
      </c>
      <c r="G45" s="128" t="str">
        <f t="shared" si="2"/>
        <v>Enter Consumption Figure</v>
      </c>
    </row>
    <row r="46" spans="2:11" x14ac:dyDescent="0.2">
      <c r="B46" s="124" t="s">
        <v>12</v>
      </c>
      <c r="C46" s="18" t="s">
        <v>25</v>
      </c>
      <c r="D46" s="126" t="str">
        <f>IF(Overview!$C$15="","",Overview!$C$15)</f>
        <v>2019-20</v>
      </c>
      <c r="E46" s="55"/>
      <c r="F46" s="127">
        <f>IF(C46="Miles",VLOOKUP(Overview!$C$15,'GHG Emission Factors'!$B:$DJ,21,0),VLOOKUP(Overview!$C$15,'GHG Emission Factors'!$B:$DJ,41,0))</f>
        <v>0.31309999999999999</v>
      </c>
      <c r="G46" s="128" t="str">
        <f t="shared" si="2"/>
        <v>Enter Consumption Figure</v>
      </c>
    </row>
    <row r="47" spans="2:11" x14ac:dyDescent="0.2">
      <c r="B47" s="124" t="s">
        <v>13</v>
      </c>
      <c r="C47" s="18" t="s">
        <v>25</v>
      </c>
      <c r="D47" s="126" t="str">
        <f>IF(Overview!$C$15="","",Overview!$C$15)</f>
        <v>2019-20</v>
      </c>
      <c r="E47" s="55"/>
      <c r="F47" s="127">
        <f>IF(C47="Miles",VLOOKUP(Overview!$C$15,'GHG Emission Factors'!$B:$DJ,22,0),VLOOKUP(Overview!$C$15,'GHG Emission Factors'!$B:$DJ,41,0))</f>
        <v>0.44702999999999998</v>
      </c>
      <c r="G47" s="128" t="str">
        <f t="shared" si="2"/>
        <v>Enter Consumption Figure</v>
      </c>
    </row>
    <row r="48" spans="2:11" x14ac:dyDescent="0.2">
      <c r="B48" s="124" t="s">
        <v>14</v>
      </c>
      <c r="C48" s="18" t="s">
        <v>25</v>
      </c>
      <c r="D48" s="126" t="str">
        <f>IF(Overview!$C$15="","",Overview!$C$15)</f>
        <v>2019-20</v>
      </c>
      <c r="E48" s="55"/>
      <c r="F48" s="127">
        <f>IF(C48="Miles",VLOOKUP(Overview!$C$15,'GHG Emission Factors'!$B:$DJ,23,0),VLOOKUP(Overview!$C$15,'GHG Emission Factors'!$B:$DJ,41,0))</f>
        <v>0.32601999999999998</v>
      </c>
      <c r="G48" s="128" t="str">
        <f t="shared" si="2"/>
        <v>Enter Consumption Figure</v>
      </c>
    </row>
    <row r="49" spans="2:7" x14ac:dyDescent="0.2">
      <c r="B49" s="124" t="s">
        <v>516</v>
      </c>
      <c r="C49" s="18" t="s">
        <v>25</v>
      </c>
      <c r="D49" s="126" t="str">
        <f>IF(Overview!$C$15="","",Overview!$C$15)</f>
        <v>2019-20</v>
      </c>
      <c r="E49" s="55"/>
      <c r="F49" s="127">
        <f>IF(C49="Miles",VLOOKUP(Overview!$C$15,'GHG Emission Factors'!$B:$DJ,24,0),VLOOKUP(Overview!$C$15,'GHG Emission Factors'!$B:$DJ,41,0))</f>
        <v>0.29132999999999998</v>
      </c>
      <c r="G49" s="128" t="str">
        <f t="shared" si="2"/>
        <v>Enter Consumption Figure</v>
      </c>
    </row>
    <row r="50" spans="2:7" x14ac:dyDescent="0.2">
      <c r="B50" s="124" t="s">
        <v>517</v>
      </c>
      <c r="C50" s="18" t="s">
        <v>25</v>
      </c>
      <c r="D50" s="126" t="str">
        <f>IF(Overview!$C$15="","",Overview!$C$15)</f>
        <v>2019-20</v>
      </c>
      <c r="E50" s="55"/>
      <c r="F50" s="127">
        <f>IF(C50="Miles",VLOOKUP(Overview!$C$15,'GHG Emission Factors'!$B:$DJ,25,0),VLOOKUP(Overview!$C$15,'GHG Emission Factors'!$B:$DJ,42,0))</f>
        <v>0.24736</v>
      </c>
      <c r="G50" s="128" t="str">
        <f t="shared" si="2"/>
        <v>Enter Consumption Figure</v>
      </c>
    </row>
    <row r="51" spans="2:7" x14ac:dyDescent="0.2">
      <c r="B51" s="124" t="s">
        <v>521</v>
      </c>
      <c r="C51" s="18" t="s">
        <v>25</v>
      </c>
      <c r="D51" s="126" t="str">
        <f>IF(Overview!$C$15="","",Overview!$C$15)</f>
        <v>2019-20</v>
      </c>
      <c r="E51" s="55"/>
      <c r="F51" s="127">
        <f>IF(C51="Miles",VLOOKUP(Overview!$C$15,'GHG Emission Factors'!$B:$DJ,26,0),VLOOKUP(Overview!$C$15,'GHG Emission Factors'!$B:$DJ,42,0))</f>
        <v>0.30945</v>
      </c>
      <c r="G51" s="128" t="str">
        <f t="shared" si="2"/>
        <v>Enter Consumption Figure</v>
      </c>
    </row>
    <row r="52" spans="2:7" x14ac:dyDescent="0.2">
      <c r="B52" s="124" t="s">
        <v>522</v>
      </c>
      <c r="C52" s="18" t="s">
        <v>25</v>
      </c>
      <c r="D52" s="126" t="str">
        <f>IF(Overview!$C$15="","",Overview!$C$15)</f>
        <v>2019-20</v>
      </c>
      <c r="E52" s="55"/>
      <c r="F52" s="127">
        <f>IF(C52="Miles",VLOOKUP(Overview!$C$15,'GHG Emission Factors'!$B:$DJ,27,0),VLOOKUP(Overview!$C$15,'GHG Emission Factors'!$B:$DJ,42,0))</f>
        <v>0.45535999999999999</v>
      </c>
      <c r="G52" s="128" t="str">
        <f t="shared" si="2"/>
        <v>Enter Consumption Figure</v>
      </c>
    </row>
    <row r="53" spans="2:7" x14ac:dyDescent="0.2">
      <c r="B53" s="124" t="s">
        <v>518</v>
      </c>
      <c r="C53" s="18" t="s">
        <v>25</v>
      </c>
      <c r="D53" s="126" t="str">
        <f>IF(Overview!$C$15="","",Overview!$C$15)</f>
        <v>2019-20</v>
      </c>
      <c r="E53" s="55"/>
      <c r="F53" s="127">
        <f>IF(C53="Miles",VLOOKUP(Overview!$C$15,'GHG Emission Factors'!$B:$DJ,28,0),VLOOKUP(Overview!$C$15,'GHG Emission Factors'!$B:$DJ,42,0))</f>
        <v>0.16930000000000001</v>
      </c>
      <c r="G53" s="128" t="str">
        <f t="shared" si="2"/>
        <v>Enter Consumption Figure</v>
      </c>
    </row>
    <row r="54" spans="2:7" x14ac:dyDescent="0.2">
      <c r="B54" s="124" t="s">
        <v>544</v>
      </c>
      <c r="C54" s="18" t="s">
        <v>25</v>
      </c>
      <c r="D54" s="126" t="str">
        <f>IF(Overview!$C$15="","",Overview!$C$15)</f>
        <v>2019-20</v>
      </c>
      <c r="E54" s="55"/>
      <c r="F54" s="127">
        <f>IF(C54="Miles",VLOOKUP(Overview!$C$15,'GHG Emission Factors'!$B:$DJ,29,0),VLOOKUP(Overview!$C$15,'GHG Emission Factors'!$B:$DJ,42,0))</f>
        <v>0.17534</v>
      </c>
      <c r="G54" s="128" t="str">
        <f t="shared" si="2"/>
        <v>Enter Consumption Figure</v>
      </c>
    </row>
    <row r="55" spans="2:7" x14ac:dyDescent="0.2">
      <c r="B55" s="124" t="s">
        <v>545</v>
      </c>
      <c r="C55" s="18" t="s">
        <v>25</v>
      </c>
      <c r="D55" s="126" t="str">
        <f>IF(Overview!$C$15="","",Overview!$C$15)</f>
        <v>2019-20</v>
      </c>
      <c r="E55" s="55"/>
      <c r="F55" s="127">
        <f>IF(C55="Miles",VLOOKUP(Overview!$C$15,'GHG Emission Factors'!$B:$DJ,30,0),VLOOKUP(Overview!$C$15,'GHG Emission Factors'!$B:$DJ,42,0))</f>
        <v>0.21207000000000001</v>
      </c>
      <c r="G55" s="128" t="str">
        <f t="shared" si="2"/>
        <v>Enter Consumption Figure</v>
      </c>
    </row>
    <row r="56" spans="2:7" x14ac:dyDescent="0.2">
      <c r="B56" s="124" t="s">
        <v>542</v>
      </c>
      <c r="C56" s="125" t="s">
        <v>25</v>
      </c>
      <c r="D56" s="126" t="str">
        <f>IF(Overview!$C$15="","",Overview!$C$15)</f>
        <v>2019-20</v>
      </c>
      <c r="E56" s="55"/>
      <c r="F56" s="127">
        <f>IFERROR(VLOOKUP(Overview!$C$15,'GHG Emission Factors'!$B:$DJ,31,0),"")</f>
        <v>8.931E-2</v>
      </c>
      <c r="G56" s="128" t="str">
        <f t="shared" si="2"/>
        <v>Enter Consumption Figure</v>
      </c>
    </row>
    <row r="57" spans="2:7" x14ac:dyDescent="0.2">
      <c r="B57" s="124" t="s">
        <v>543</v>
      </c>
      <c r="C57" s="125" t="s">
        <v>25</v>
      </c>
      <c r="D57" s="126" t="str">
        <f>IF(Overview!$C$15="","",Overview!$C$15)</f>
        <v>2019-20</v>
      </c>
      <c r="E57" s="55"/>
      <c r="F57" s="127">
        <f>IFERROR(VLOOKUP(Overview!$C$15,'GHG Emission Factors'!$B:$DJ,32,0),"")</f>
        <v>0.28502</v>
      </c>
      <c r="G57" s="128" t="str">
        <f t="shared" si="2"/>
        <v>Enter Consumption Figure</v>
      </c>
    </row>
    <row r="58" spans="2:7" x14ac:dyDescent="0.2">
      <c r="B58" s="124" t="s">
        <v>537</v>
      </c>
      <c r="C58" s="18" t="s">
        <v>25</v>
      </c>
      <c r="D58" s="126" t="str">
        <f>IF(Overview!$C$15="","",Overview!$C$15)</f>
        <v>2019-20</v>
      </c>
      <c r="E58" s="55"/>
      <c r="F58" s="127">
        <f>IF(C58="Miles",VLOOKUP(Overview!$C$15,'GHG Emission Factors'!$B:$DJ,33,0),VLOOKUP(Overview!$C$15,'GHG Emission Factors'!$B:$DJ,41,0))</f>
        <v>0.78924000000000005</v>
      </c>
      <c r="G58" s="128" t="str">
        <f t="shared" si="2"/>
        <v>Enter Consumption Figure</v>
      </c>
    </row>
    <row r="59" spans="2:7" x14ac:dyDescent="0.2">
      <c r="B59" s="124" t="s">
        <v>528</v>
      </c>
      <c r="C59" s="18" t="s">
        <v>25</v>
      </c>
      <c r="D59" s="126" t="str">
        <f>IF(Overview!$C$15="","",Overview!$C$15)</f>
        <v>2019-20</v>
      </c>
      <c r="E59" s="55"/>
      <c r="F59" s="127">
        <f>IF(C59="Miles",VLOOKUP(Overview!$C$15,'GHG Emission Factors'!$B:$DJ,34,0),VLOOKUP(Overview!$C$15,'GHG Emission Factors'!$B:$DJ,41,0))</f>
        <v>0.96384999999999998</v>
      </c>
      <c r="G59" s="128" t="str">
        <f t="shared" si="2"/>
        <v>Enter Consumption Figure</v>
      </c>
    </row>
    <row r="60" spans="2:7" x14ac:dyDescent="0.2">
      <c r="B60" s="124" t="s">
        <v>529</v>
      </c>
      <c r="C60" s="18" t="s">
        <v>25</v>
      </c>
      <c r="D60" s="126" t="str">
        <f>IF(Overview!$C$15="","",Overview!$C$15)</f>
        <v>2019-20</v>
      </c>
      <c r="E60" s="55"/>
      <c r="F60" s="127">
        <f>IF(C60="Miles",VLOOKUP(Overview!$C$15,'GHG Emission Factors'!$B:$DJ,35,0),VLOOKUP(Overview!$C$15,'GHG Emission Factors'!$B:$DJ,41,0))</f>
        <v>1.58108</v>
      </c>
      <c r="G60" s="128" t="str">
        <f t="shared" si="2"/>
        <v>Enter Consumption Figure</v>
      </c>
    </row>
    <row r="61" spans="2:7" x14ac:dyDescent="0.2">
      <c r="B61" s="124" t="s">
        <v>534</v>
      </c>
      <c r="C61" s="18" t="s">
        <v>25</v>
      </c>
      <c r="D61" s="126" t="str">
        <f>IF(Overview!$C$15="","",Overview!$C$15)</f>
        <v>2019-20</v>
      </c>
      <c r="E61" s="55"/>
      <c r="F61" s="127">
        <f>IF(C61="Miles",VLOOKUP(Overview!$C$15,'GHG Emission Factors'!$B:$DJ,36,0),VLOOKUP(Overview!$C$15,'GHG Emission Factors'!$B:$DJ,41,0))</f>
        <v>1.3175300000000001</v>
      </c>
      <c r="G61" s="128" t="str">
        <f t="shared" si="2"/>
        <v>Enter Consumption Figure</v>
      </c>
    </row>
    <row r="62" spans="2:7" x14ac:dyDescent="0.2">
      <c r="B62" s="124" t="s">
        <v>530</v>
      </c>
      <c r="C62" s="18" t="s">
        <v>25</v>
      </c>
      <c r="D62" s="126" t="str">
        <f>IF(Overview!$C$15="","",Overview!$C$15)</f>
        <v>2019-20</v>
      </c>
      <c r="E62" s="55"/>
      <c r="F62" s="127">
        <f>IF(C62="Miles",VLOOKUP(Overview!$C$15,'GHG Emission Factors'!$B:$DJ,37,0),VLOOKUP(Overview!$C$15,'GHG Emission Factors'!$B:$DJ,41,0))</f>
        <v>1.2664</v>
      </c>
      <c r="G62" s="128" t="str">
        <f t="shared" si="2"/>
        <v>Enter Consumption Figure</v>
      </c>
    </row>
    <row r="63" spans="2:7" x14ac:dyDescent="0.2">
      <c r="B63" s="124" t="s">
        <v>531</v>
      </c>
      <c r="C63" s="18" t="s">
        <v>25</v>
      </c>
      <c r="D63" s="126" t="str">
        <f>IF(Overview!$C$15="","",Overview!$C$15)</f>
        <v>2019-20</v>
      </c>
      <c r="E63" s="55"/>
      <c r="F63" s="127">
        <f>IF(C63="Miles",VLOOKUP(Overview!$C$15,'GHG Emission Factors'!$B:$DJ,38,0),VLOOKUP(Overview!$C$15,'GHG Emission Factors'!$B:$DJ,41,0))</f>
        <v>1.50786</v>
      </c>
      <c r="G63" s="128" t="str">
        <f t="shared" si="2"/>
        <v>Enter Consumption Figure</v>
      </c>
    </row>
    <row r="64" spans="2:7" x14ac:dyDescent="0.2">
      <c r="B64" s="124" t="s">
        <v>533</v>
      </c>
      <c r="C64" s="18" t="s">
        <v>25</v>
      </c>
      <c r="D64" s="126" t="str">
        <f>IF(Overview!$C$15="","",Overview!$C$15)</f>
        <v>2019-20</v>
      </c>
      <c r="E64" s="55"/>
      <c r="F64" s="127">
        <f>IF(C64="Miles",VLOOKUP(Overview!$C$15,'GHG Emission Factors'!$B:$DJ,39,0),VLOOKUP(Overview!$C$15,'GHG Emission Factors'!$B:$DJ,41,0))</f>
        <v>1.4932799999999999</v>
      </c>
      <c r="G64" s="128" t="str">
        <f t="shared" si="2"/>
        <v>Enter Consumption Figure</v>
      </c>
    </row>
    <row r="65" spans="2:7" x14ac:dyDescent="0.2">
      <c r="B65" s="124" t="s">
        <v>532</v>
      </c>
      <c r="C65" s="18" t="s">
        <v>25</v>
      </c>
      <c r="D65" s="126" t="str">
        <f>IF(Overview!$C$15="","",Overview!$C$15)</f>
        <v>2019-20</v>
      </c>
      <c r="E65" s="55"/>
      <c r="F65" s="127">
        <f>IF(C65="Miles",VLOOKUP(Overview!$C$15,'GHG Emission Factors'!$B:$DJ,40,0),VLOOKUP(Overview!$C$15,'GHG Emission Factors'!$B:$DJ,41,0))</f>
        <v>1.41662</v>
      </c>
      <c r="G65" s="128" t="str">
        <f t="shared" si="2"/>
        <v>Enter Consumption Figure</v>
      </c>
    </row>
    <row r="66" spans="2:7" x14ac:dyDescent="0.2">
      <c r="B66" s="124" t="s">
        <v>536</v>
      </c>
      <c r="C66" s="125" t="s">
        <v>524</v>
      </c>
      <c r="D66" s="126" t="str">
        <f>IF(Overview!$C$15="","",Overview!$C$15)</f>
        <v>2019-20</v>
      </c>
      <c r="E66" s="55">
        <f>67295.57+8364</f>
        <v>75659.570000000007</v>
      </c>
      <c r="F66" s="127">
        <f>IFERROR(VLOOKUP(Overview!$C$15,'GHG Emission Factors'!$B:$DJ,41,0),"")</f>
        <v>2.5941100000000001</v>
      </c>
      <c r="G66" s="128">
        <f t="shared" si="2"/>
        <v>196.26924713270003</v>
      </c>
    </row>
    <row r="67" spans="2:7" x14ac:dyDescent="0.2">
      <c r="B67" s="124" t="s">
        <v>535</v>
      </c>
      <c r="C67" s="125" t="s">
        <v>524</v>
      </c>
      <c r="D67" s="126" t="str">
        <f>IF(Overview!$C$15="","",Overview!$C$15)</f>
        <v>2019-20</v>
      </c>
      <c r="E67" s="55">
        <f>29742.65+3574</f>
        <v>33316.65</v>
      </c>
      <c r="F67" s="127">
        <f>IFERROR(VLOOKUP(Overview!$C$15,'GHG Emission Factors'!$B:$DJ,42,0),"")</f>
        <v>2.2090399999999999</v>
      </c>
      <c r="G67" s="128">
        <f t="shared" si="2"/>
        <v>73.597812516000005</v>
      </c>
    </row>
    <row r="68" spans="2:7" ht="15" x14ac:dyDescent="0.2">
      <c r="B68" s="133"/>
      <c r="C68" s="134"/>
      <c r="D68" s="134"/>
      <c r="E68" s="135"/>
      <c r="F68" s="136"/>
      <c r="G68" s="137"/>
    </row>
    <row r="69" spans="2:7" ht="15" thickBot="1" x14ac:dyDescent="0.25">
      <c r="B69" s="63"/>
      <c r="C69" s="63"/>
      <c r="D69" s="63"/>
      <c r="E69" s="63"/>
      <c r="F69" s="63"/>
      <c r="G69" s="63"/>
    </row>
    <row r="70" spans="2:7" x14ac:dyDescent="0.2">
      <c r="B70" s="60"/>
      <c r="C70" s="60"/>
      <c r="D70" s="60"/>
      <c r="E70" s="60"/>
      <c r="F70" s="60"/>
      <c r="G70" s="60"/>
    </row>
    <row r="71" spans="2:7" s="60" customFormat="1" ht="15" x14ac:dyDescent="0.2">
      <c r="B71" s="138" t="s">
        <v>570</v>
      </c>
      <c r="C71" s="139"/>
      <c r="D71" s="139"/>
      <c r="E71" s="139"/>
      <c r="F71" s="139"/>
      <c r="G71" s="139"/>
    </row>
    <row r="72" spans="2:7" s="60" customFormat="1" ht="14.1" customHeight="1" x14ac:dyDescent="0.2">
      <c r="B72" s="272" t="s">
        <v>589</v>
      </c>
      <c r="C72" s="272"/>
      <c r="D72" s="272"/>
      <c r="E72" s="272"/>
      <c r="F72" s="272"/>
      <c r="G72" s="272"/>
    </row>
    <row r="73" spans="2:7" s="60" customFormat="1" x14ac:dyDescent="0.2">
      <c r="B73" s="272"/>
      <c r="C73" s="272"/>
      <c r="D73" s="272"/>
      <c r="E73" s="272"/>
      <c r="F73" s="272"/>
      <c r="G73" s="272"/>
    </row>
    <row r="74" spans="2:7" s="60" customFormat="1" x14ac:dyDescent="0.2">
      <c r="B74" s="272"/>
      <c r="C74" s="272"/>
      <c r="D74" s="272"/>
      <c r="E74" s="272"/>
      <c r="F74" s="272"/>
      <c r="G74" s="272"/>
    </row>
    <row r="75" spans="2:7" s="60" customFormat="1" x14ac:dyDescent="0.2">
      <c r="B75" s="272"/>
      <c r="C75" s="272"/>
      <c r="D75" s="272"/>
      <c r="E75" s="272"/>
      <c r="F75" s="272"/>
      <c r="G75" s="272"/>
    </row>
    <row r="76" spans="2:7" s="60" customFormat="1" x14ac:dyDescent="0.2">
      <c r="B76" s="272"/>
      <c r="C76" s="272"/>
      <c r="D76" s="272"/>
      <c r="E76" s="272"/>
      <c r="F76" s="272"/>
      <c r="G76" s="272"/>
    </row>
    <row r="77" spans="2:7" s="60" customFormat="1" x14ac:dyDescent="0.2">
      <c r="B77" s="272"/>
      <c r="C77" s="272"/>
      <c r="D77" s="272"/>
      <c r="E77" s="272"/>
      <c r="F77" s="272"/>
      <c r="G77" s="272"/>
    </row>
    <row r="78" spans="2:7" s="60" customFormat="1" x14ac:dyDescent="0.2">
      <c r="B78" s="272"/>
      <c r="C78" s="272"/>
      <c r="D78" s="272"/>
      <c r="E78" s="272"/>
      <c r="F78" s="272"/>
      <c r="G78" s="272"/>
    </row>
    <row r="79" spans="2:7" s="60" customFormat="1" x14ac:dyDescent="0.2">
      <c r="B79" s="272"/>
      <c r="C79" s="272"/>
      <c r="D79" s="272"/>
      <c r="E79" s="272"/>
      <c r="F79" s="272"/>
      <c r="G79" s="272"/>
    </row>
    <row r="80" spans="2:7" s="60" customFormat="1" x14ac:dyDescent="0.2">
      <c r="B80" s="272"/>
      <c r="C80" s="272"/>
      <c r="D80" s="272"/>
      <c r="E80" s="272"/>
      <c r="F80" s="272"/>
      <c r="G80" s="272"/>
    </row>
    <row r="81" spans="2:7" s="60" customFormat="1" x14ac:dyDescent="0.2">
      <c r="B81" s="272"/>
      <c r="C81" s="272"/>
      <c r="D81" s="272"/>
      <c r="E81" s="272"/>
      <c r="F81" s="272"/>
      <c r="G81" s="272"/>
    </row>
    <row r="82" spans="2:7" s="60" customFormat="1" x14ac:dyDescent="0.2">
      <c r="B82" s="272"/>
      <c r="C82" s="272"/>
      <c r="D82" s="272"/>
      <c r="E82" s="272"/>
      <c r="F82" s="272"/>
      <c r="G82" s="272"/>
    </row>
    <row r="83" spans="2:7" s="60" customFormat="1" x14ac:dyDescent="0.2">
      <c r="B83" s="272"/>
      <c r="C83" s="272"/>
      <c r="D83" s="272"/>
      <c r="E83" s="272"/>
      <c r="F83" s="272"/>
      <c r="G83" s="272"/>
    </row>
    <row r="84" spans="2:7" s="60" customFormat="1" x14ac:dyDescent="0.2">
      <c r="B84" s="272"/>
      <c r="C84" s="272"/>
      <c r="D84" s="272"/>
      <c r="E84" s="272"/>
      <c r="F84" s="272"/>
      <c r="G84" s="272"/>
    </row>
    <row r="85" spans="2:7" s="60" customFormat="1" x14ac:dyDescent="0.2">
      <c r="B85" s="272"/>
      <c r="C85" s="272"/>
      <c r="D85" s="272"/>
      <c r="E85" s="272"/>
      <c r="F85" s="272"/>
      <c r="G85" s="272"/>
    </row>
    <row r="86" spans="2:7" x14ac:dyDescent="0.2">
      <c r="B86" s="272"/>
      <c r="C86" s="272"/>
      <c r="D86" s="272"/>
      <c r="E86" s="272"/>
      <c r="F86" s="272"/>
      <c r="G86" s="272"/>
    </row>
    <row r="87" spans="2:7" x14ac:dyDescent="0.2">
      <c r="B87" s="272"/>
      <c r="C87" s="272"/>
      <c r="D87" s="272"/>
      <c r="E87" s="272"/>
      <c r="F87" s="272"/>
      <c r="G87" s="272"/>
    </row>
    <row r="88" spans="2:7" x14ac:dyDescent="0.2">
      <c r="B88" s="272"/>
      <c r="C88" s="272"/>
      <c r="D88" s="272"/>
      <c r="E88" s="272"/>
      <c r="F88" s="272"/>
      <c r="G88" s="272"/>
    </row>
    <row r="89" spans="2:7" x14ac:dyDescent="0.2">
      <c r="B89" s="272"/>
      <c r="C89" s="272"/>
      <c r="D89" s="272"/>
      <c r="E89" s="272"/>
      <c r="F89" s="272"/>
      <c r="G89" s="272"/>
    </row>
    <row r="90" spans="2:7" x14ac:dyDescent="0.2">
      <c r="B90" s="272"/>
      <c r="C90" s="272"/>
      <c r="D90" s="272"/>
      <c r="E90" s="272"/>
      <c r="F90" s="272"/>
      <c r="G90" s="272"/>
    </row>
    <row r="91" spans="2:7" x14ac:dyDescent="0.2">
      <c r="B91" s="272"/>
      <c r="C91" s="272"/>
      <c r="D91" s="272"/>
      <c r="E91" s="272"/>
      <c r="F91" s="272"/>
      <c r="G91" s="272"/>
    </row>
    <row r="92" spans="2:7" x14ac:dyDescent="0.2">
      <c r="B92" s="272"/>
      <c r="C92" s="272"/>
      <c r="D92" s="272"/>
      <c r="E92" s="272"/>
      <c r="F92" s="272"/>
      <c r="G92" s="272"/>
    </row>
    <row r="93" spans="2:7" x14ac:dyDescent="0.2">
      <c r="B93" s="272"/>
      <c r="C93" s="272"/>
      <c r="D93" s="272"/>
      <c r="E93" s="272"/>
      <c r="F93" s="272"/>
      <c r="G93" s="272"/>
    </row>
    <row r="95" spans="2:7" ht="15" x14ac:dyDescent="0.2">
      <c r="B95" s="111" t="s">
        <v>554</v>
      </c>
      <c r="C95" s="112"/>
      <c r="D95" s="112"/>
    </row>
    <row r="96" spans="2:7" x14ac:dyDescent="0.2">
      <c r="B96" s="241" t="s">
        <v>613</v>
      </c>
      <c r="C96" s="241"/>
      <c r="D96" s="241"/>
    </row>
    <row r="100" spans="2:7" x14ac:dyDescent="0.2">
      <c r="B100" s="273" t="s">
        <v>738</v>
      </c>
      <c r="C100" s="273"/>
      <c r="D100" s="273"/>
      <c r="E100" s="273"/>
      <c r="F100" s="273"/>
      <c r="G100" s="273"/>
    </row>
    <row r="101" spans="2:7" x14ac:dyDescent="0.2">
      <c r="B101" s="273"/>
      <c r="C101" s="273"/>
      <c r="D101" s="273"/>
      <c r="E101" s="273"/>
      <c r="F101" s="273"/>
      <c r="G101" s="273"/>
    </row>
  </sheetData>
  <mergeCells count="3">
    <mergeCell ref="B72:G93"/>
    <mergeCell ref="B96:D96"/>
    <mergeCell ref="B100:G101"/>
  </mergeCells>
  <conditionalFormatting sqref="G17:G20">
    <cfRule type="cellIs" dxfId="47" priority="8" operator="equal">
      <formula>"Enter Consumption Figure"</formula>
    </cfRule>
  </conditionalFormatting>
  <conditionalFormatting sqref="G41:G68">
    <cfRule type="cellIs" dxfId="46" priority="7" operator="equal">
      <formula>"Enter Consumption Figure"</formula>
    </cfRule>
  </conditionalFormatting>
  <conditionalFormatting sqref="G36">
    <cfRule type="cellIs" dxfId="45" priority="6" operator="equal">
      <formula>"Enter Consumption Figure"</formula>
    </cfRule>
  </conditionalFormatting>
  <conditionalFormatting sqref="G29:G31">
    <cfRule type="cellIs" dxfId="44" priority="5" operator="equal">
      <formula>"Enter Consumption Figure"</formula>
    </cfRule>
  </conditionalFormatting>
  <conditionalFormatting sqref="G22">
    <cfRule type="cellIs" dxfId="43" priority="4" operator="equal">
      <formula>"Enter Consumption Figure"</formula>
    </cfRule>
  </conditionalFormatting>
  <conditionalFormatting sqref="G23">
    <cfRule type="cellIs" dxfId="42" priority="3" operator="equal">
      <formula>"Enter Consumption Figure"</formula>
    </cfRule>
  </conditionalFormatting>
  <conditionalFormatting sqref="G24">
    <cfRule type="cellIs" dxfId="41" priority="2" operator="equal">
      <formula>"Enter Consumption Figure"</formula>
    </cfRule>
  </conditionalFormatting>
  <conditionalFormatting sqref="G21">
    <cfRule type="cellIs" dxfId="40" priority="1" operator="equal">
      <formula>"Enter Consumption Figure"</formula>
    </cfRule>
  </conditionalFormatting>
  <dataValidations count="2">
    <dataValidation type="custom" allowBlank="1" showInputMessage="1" showErrorMessage="1" errorTitle="Not a Valid Value" error="The data entered is not a valid value, please click the &quot;Retry&quot; button and enter the consumption figure in a number format." sqref="E29:E36 F32:G35 E41:E68 E17:E24" xr:uid="{3B6BF43C-029A-4E8D-BDF2-BE5B5BE549D5}">
      <formula1>ISNUMBER(E17)</formula1>
    </dataValidation>
    <dataValidation allowBlank="1" showErrorMessage="1" promptTitle="Consumption Units" prompt="Please select whether Fleet data is reported in Miles or Litres" sqref="C56:C57 C66:C68" xr:uid="{EAE88110-A663-49E0-AABF-D57721F9C95E}"/>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Please select consumption units" promptTitle="Consumption Units" prompt="Please select whether Fleet data is reported in Miles or Litres" xr:uid="{F101293C-274E-4203-B2AD-F080BBCCA6D7}">
          <x14:formula1>
            <xm:f>'List Tab'!$R$4:$R$5</xm:f>
          </x14:formula1>
          <xm:sqref>C41:C55 C58:C65</xm:sqref>
        </x14:dataValidation>
        <x14:dataValidation type="list" allowBlank="1" showInputMessage="1" showErrorMessage="1" error="Please select consumption units" promptTitle="Consumption Units" prompt="Please select whether Heating data is reported in kWh (Gross CV) or Litres" xr:uid="{8534C182-FCBE-46E5-98BF-37CDA87ECB49}">
          <x14:formula1>
            <xm:f>'List Tab'!$T$4:$T$5</xm:f>
          </x14:formula1>
          <xm:sqref>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13F63-9A69-4B1C-8B33-88B218236B0E}">
  <sheetPr>
    <tabColor rgb="FF00C18B"/>
  </sheetPr>
  <dimension ref="B1:I70"/>
  <sheetViews>
    <sheetView showGridLines="0" zoomScaleNormal="100" workbookViewId="0">
      <selection activeCell="E18" sqref="E18"/>
    </sheetView>
  </sheetViews>
  <sheetFormatPr defaultColWidth="10.625" defaultRowHeight="14.25" x14ac:dyDescent="0.2"/>
  <cols>
    <col min="1" max="1" width="8.625" style="56" customWidth="1"/>
    <col min="2" max="2" width="42.625" style="56" customWidth="1"/>
    <col min="3" max="3" width="28.75" style="56" bestFit="1" customWidth="1"/>
    <col min="4" max="4" width="7.75" style="56" bestFit="1" customWidth="1"/>
    <col min="5" max="5" width="13.125" style="56" bestFit="1" customWidth="1"/>
    <col min="6" max="6" width="11.25" style="56" bestFit="1" customWidth="1"/>
    <col min="7" max="8" width="23" style="56" bestFit="1" customWidth="1"/>
    <col min="9" max="9" width="8.625" style="56" customWidth="1"/>
    <col min="10" max="16384" width="10.625" style="56"/>
  </cols>
  <sheetData>
    <row r="1" spans="2:9" s="60" customFormat="1" x14ac:dyDescent="0.2"/>
    <row r="2" spans="2:9" s="60" customFormat="1" x14ac:dyDescent="0.2"/>
    <row r="3" spans="2:9" s="60" customFormat="1" x14ac:dyDescent="0.2"/>
    <row r="4" spans="2:9" s="60" customFormat="1" x14ac:dyDescent="0.2">
      <c r="F4" s="56"/>
      <c r="G4" s="56"/>
      <c r="H4" s="56"/>
    </row>
    <row r="5" spans="2:9" s="60" customFormat="1" x14ac:dyDescent="0.2">
      <c r="F5" s="56"/>
      <c r="G5" s="56"/>
      <c r="H5" s="56"/>
    </row>
    <row r="6" spans="2:9" s="60" customFormat="1" x14ac:dyDescent="0.2">
      <c r="F6" s="56"/>
      <c r="G6" s="56"/>
      <c r="H6" s="56"/>
    </row>
    <row r="7" spans="2:9" s="60" customFormat="1" x14ac:dyDescent="0.2">
      <c r="F7" s="56"/>
      <c r="G7" s="56"/>
      <c r="H7" s="56"/>
    </row>
    <row r="8" spans="2:9" s="60" customFormat="1" ht="15" x14ac:dyDescent="0.2">
      <c r="B8" s="274" t="s">
        <v>553</v>
      </c>
      <c r="C8" s="274"/>
      <c r="E8" s="56"/>
      <c r="F8" s="56"/>
      <c r="G8" s="56"/>
    </row>
    <row r="9" spans="2:9" s="60" customFormat="1" x14ac:dyDescent="0.2">
      <c r="B9" s="275" t="s">
        <v>466</v>
      </c>
      <c r="C9" s="275"/>
      <c r="E9" s="56"/>
      <c r="F9" s="56"/>
      <c r="G9" s="56"/>
    </row>
    <row r="10" spans="2:9" s="60" customFormat="1" x14ac:dyDescent="0.2">
      <c r="B10" s="276" t="s">
        <v>469</v>
      </c>
      <c r="C10" s="276"/>
      <c r="E10" s="56"/>
      <c r="F10" s="56"/>
      <c r="G10" s="56"/>
    </row>
    <row r="11" spans="2:9" s="60" customFormat="1" x14ac:dyDescent="0.2">
      <c r="B11" s="277" t="s">
        <v>467</v>
      </c>
      <c r="C11" s="277"/>
      <c r="E11" s="56"/>
      <c r="F11" s="56"/>
      <c r="G11" s="56"/>
    </row>
    <row r="12" spans="2:9" ht="15" thickBot="1" x14ac:dyDescent="0.25">
      <c r="B12" s="141"/>
      <c r="C12" s="141"/>
      <c r="D12" s="141"/>
      <c r="E12" s="141"/>
      <c r="F12" s="141"/>
      <c r="G12" s="141"/>
      <c r="H12" s="141"/>
      <c r="I12" s="141"/>
    </row>
    <row r="13" spans="2:9" x14ac:dyDescent="0.2">
      <c r="B13" s="119"/>
      <c r="C13" s="119"/>
      <c r="D13" s="119"/>
      <c r="E13" s="119"/>
      <c r="F13" s="119"/>
      <c r="G13" s="119"/>
      <c r="H13" s="119"/>
    </row>
    <row r="14" spans="2:9" ht="20.25" x14ac:dyDescent="0.2">
      <c r="B14" s="118" t="s">
        <v>50</v>
      </c>
      <c r="C14" s="119"/>
      <c r="D14" s="119"/>
      <c r="E14" s="119"/>
      <c r="F14" s="119"/>
      <c r="G14" s="119"/>
      <c r="H14" s="119"/>
    </row>
    <row r="15" spans="2:9" x14ac:dyDescent="0.2">
      <c r="B15" s="120" t="s">
        <v>45</v>
      </c>
      <c r="C15" s="119"/>
      <c r="D15" s="119"/>
      <c r="E15" s="119"/>
      <c r="F15" s="119"/>
      <c r="G15" s="119"/>
      <c r="H15" s="119"/>
    </row>
    <row r="16" spans="2:9" x14ac:dyDescent="0.2">
      <c r="B16" s="119"/>
      <c r="C16" s="119"/>
      <c r="D16" s="119"/>
      <c r="E16" s="119"/>
      <c r="F16" s="119"/>
      <c r="G16" s="119"/>
      <c r="H16" s="119"/>
    </row>
    <row r="17" spans="2:8" ht="31.5" x14ac:dyDescent="0.2">
      <c r="B17" s="121" t="s">
        <v>58</v>
      </c>
      <c r="C17" s="121" t="s">
        <v>455</v>
      </c>
      <c r="D17" s="121" t="s">
        <v>59</v>
      </c>
      <c r="E17" s="121" t="s">
        <v>60</v>
      </c>
      <c r="F17" s="122" t="s">
        <v>61</v>
      </c>
      <c r="G17" s="122" t="s">
        <v>576</v>
      </c>
      <c r="H17" s="119"/>
    </row>
    <row r="18" spans="2:8" x14ac:dyDescent="0.2">
      <c r="B18" s="124" t="s">
        <v>452</v>
      </c>
      <c r="C18" s="125" t="s">
        <v>26</v>
      </c>
      <c r="D18" s="126" t="str">
        <f>IF(Overview!$C$15="","",Overview!$C$15)</f>
        <v>2019-20</v>
      </c>
      <c r="E18" s="55">
        <v>26768383.815700002</v>
      </c>
      <c r="F18" s="127">
        <f>IFERROR(VLOOKUP(Overview!$C$15,'GHG Emission Factors'!$B:$DJ,43,0),"")</f>
        <v>0.25559999999999999</v>
      </c>
      <c r="G18" s="128">
        <f t="shared" ref="G18:G19" si="0">IF(E18="","Enter Consumption Figure",(E18*F18)/1000)</f>
        <v>6841.9989032929207</v>
      </c>
      <c r="H18" s="119"/>
    </row>
    <row r="19" spans="2:8" x14ac:dyDescent="0.2">
      <c r="B19" s="124" t="s">
        <v>453</v>
      </c>
      <c r="C19" s="125" t="s">
        <v>26</v>
      </c>
      <c r="D19" s="126" t="str">
        <f>IF(Overview!$C$15="","",Overview!$C$15)</f>
        <v>2019-20</v>
      </c>
      <c r="E19" s="55">
        <v>3368991.38</v>
      </c>
      <c r="F19" s="127">
        <f>IFERROR(VLOOKUP(Overview!$C$15,'GHG Emission Factors'!$B:$DJ,43,0),"")</f>
        <v>0.25559999999999999</v>
      </c>
      <c r="G19" s="128">
        <f t="shared" si="0"/>
        <v>861.11419672799991</v>
      </c>
      <c r="H19" s="119"/>
    </row>
    <row r="20" spans="2:8" x14ac:dyDescent="0.2">
      <c r="B20" s="138"/>
      <c r="C20" s="179"/>
      <c r="D20" s="164"/>
      <c r="E20" s="164"/>
      <c r="F20" s="164"/>
      <c r="G20" s="164"/>
      <c r="H20" s="119"/>
    </row>
    <row r="21" spans="2:8" x14ac:dyDescent="0.2">
      <c r="B21" s="1" t="s">
        <v>628</v>
      </c>
      <c r="C21" s="179"/>
      <c r="D21" s="164"/>
      <c r="E21" s="164"/>
      <c r="F21" s="164"/>
      <c r="G21" s="164"/>
      <c r="H21" s="119"/>
    </row>
    <row r="22" spans="2:8" x14ac:dyDescent="0.2">
      <c r="B22" s="1"/>
      <c r="C22" s="179"/>
      <c r="D22" s="164"/>
      <c r="E22" s="164"/>
      <c r="F22" s="164"/>
      <c r="G22" s="164"/>
      <c r="H22" s="119"/>
    </row>
    <row r="23" spans="2:8" ht="31.5" x14ac:dyDescent="0.2">
      <c r="B23" s="16" t="s">
        <v>58</v>
      </c>
      <c r="C23" s="16" t="s">
        <v>455</v>
      </c>
      <c r="D23" s="16" t="s">
        <v>59</v>
      </c>
      <c r="E23" s="16" t="s">
        <v>60</v>
      </c>
      <c r="F23" s="148" t="s">
        <v>61</v>
      </c>
      <c r="G23" s="148" t="s">
        <v>576</v>
      </c>
      <c r="H23" s="119"/>
    </row>
    <row r="24" spans="2:8" x14ac:dyDescent="0.2">
      <c r="B24" s="190" t="s">
        <v>620</v>
      </c>
      <c r="C24" s="150" t="s">
        <v>25</v>
      </c>
      <c r="D24" s="151" t="str">
        <f>IF(Overview!$C$15="","",Overview!$C$15)</f>
        <v>2019-20</v>
      </c>
      <c r="E24" s="55"/>
      <c r="F24" s="152">
        <f>IFERROR(VLOOKUP(Overview!$C$15,'GHG Emission Factors'!$B:$DJ,44,0),"")</f>
        <v>6.5450000000000008E-2</v>
      </c>
      <c r="G24" s="153" t="str">
        <f t="shared" ref="G24:G31" si="1">IF(E24="","Enter Consumption Figure",(E24*F24)/1000)</f>
        <v>Enter Consumption Figure</v>
      </c>
      <c r="H24" s="119"/>
    </row>
    <row r="25" spans="2:8" x14ac:dyDescent="0.2">
      <c r="B25" s="190" t="s">
        <v>621</v>
      </c>
      <c r="C25" s="150" t="s">
        <v>25</v>
      </c>
      <c r="D25" s="151" t="str">
        <f>IF(Overview!$C$15="","",Overview!$C$15)</f>
        <v>2019-20</v>
      </c>
      <c r="E25" s="55"/>
      <c r="F25" s="152">
        <f>IFERROR(VLOOKUP(Overview!$C$15,'GHG Emission Factors'!$B:$DJ,45,0),"")</f>
        <v>5.8069999999999997E-2</v>
      </c>
      <c r="G25" s="153" t="str">
        <f t="shared" si="1"/>
        <v>Enter Consumption Figure</v>
      </c>
      <c r="H25" s="119"/>
    </row>
    <row r="26" spans="2:8" x14ac:dyDescent="0.2">
      <c r="B26" s="190" t="s">
        <v>622</v>
      </c>
      <c r="C26" s="150" t="s">
        <v>25</v>
      </c>
      <c r="D26" s="151" t="str">
        <f>IF(Overview!$C$15="","",Overview!$C$15)</f>
        <v>2019-20</v>
      </c>
      <c r="E26" s="55"/>
      <c r="F26" s="152">
        <f>IFERROR(VLOOKUP(Overview!$C$15,'GHG Emission Factors'!$B:$DJ,46,0),"")</f>
        <v>7.1730000000000002E-2</v>
      </c>
      <c r="G26" s="153" t="str">
        <f t="shared" si="1"/>
        <v>Enter Consumption Figure</v>
      </c>
      <c r="H26" s="119"/>
    </row>
    <row r="27" spans="2:8" x14ac:dyDescent="0.2">
      <c r="B27" s="190" t="s">
        <v>623</v>
      </c>
      <c r="C27" s="150" t="s">
        <v>25</v>
      </c>
      <c r="D27" s="151" t="str">
        <f>IF(Overview!$C$15="","",Overview!$C$15)</f>
        <v>2019-20</v>
      </c>
      <c r="E27" s="55">
        <v>40099</v>
      </c>
      <c r="F27" s="152">
        <f>IFERROR(VLOOKUP(Overview!$C$15,'GHG Emission Factors'!$B:$DJ,47,0),"")</f>
        <v>6.6100000000000006E-2</v>
      </c>
      <c r="G27" s="153">
        <f t="shared" si="1"/>
        <v>2.6505439000000002</v>
      </c>
      <c r="H27" s="119"/>
    </row>
    <row r="28" spans="2:8" x14ac:dyDescent="0.2">
      <c r="B28" s="190" t="s">
        <v>624</v>
      </c>
      <c r="C28" s="150" t="s">
        <v>25</v>
      </c>
      <c r="D28" s="151" t="str">
        <f>IF(Overview!$C$15="","",Overview!$C$15)</f>
        <v>2019-20</v>
      </c>
      <c r="E28" s="55"/>
      <c r="F28" s="152">
        <f>IFERROR(VLOOKUP(Overview!$C$15,'GHG Emission Factors'!$B:$DJ,48,0),"")</f>
        <v>7.3499999999999996E-2</v>
      </c>
      <c r="G28" s="153" t="str">
        <f t="shared" si="1"/>
        <v>Enter Consumption Figure</v>
      </c>
      <c r="H28" s="119"/>
    </row>
    <row r="29" spans="2:8" x14ac:dyDescent="0.2">
      <c r="B29" s="190" t="s">
        <v>625</v>
      </c>
      <c r="C29" s="150" t="s">
        <v>25</v>
      </c>
      <c r="D29" s="151" t="str">
        <f>IF(Overview!$C$15="","",Overview!$C$15)</f>
        <v>2019-20</v>
      </c>
      <c r="E29" s="55"/>
      <c r="F29" s="152">
        <f>IFERROR(VLOOKUP(Overview!$C$15,'GHG Emission Factors'!$B:$DJ,49,0),"")</f>
        <v>8.5569999999999993E-2</v>
      </c>
      <c r="G29" s="153" t="str">
        <f t="shared" si="1"/>
        <v>Enter Consumption Figure</v>
      </c>
      <c r="H29" s="119"/>
    </row>
    <row r="30" spans="2:8" x14ac:dyDescent="0.2">
      <c r="B30" s="190" t="s">
        <v>626</v>
      </c>
      <c r="C30" s="150" t="s">
        <v>25</v>
      </c>
      <c r="D30" s="151" t="str">
        <f>IF(Overview!$C$15="","",Overview!$C$15)</f>
        <v>2019-20</v>
      </c>
      <c r="E30" s="55"/>
      <c r="F30" s="152">
        <f>IFERROR(VLOOKUP(Overview!$C$15,'GHG Emission Factors'!$B:$DJ,50,0),"")</f>
        <v>0.10764</v>
      </c>
      <c r="G30" s="153" t="str">
        <f t="shared" si="1"/>
        <v>Enter Consumption Figure</v>
      </c>
      <c r="H30" s="119"/>
    </row>
    <row r="31" spans="2:8" x14ac:dyDescent="0.2">
      <c r="B31" s="190" t="s">
        <v>627</v>
      </c>
      <c r="C31" s="150" t="s">
        <v>25</v>
      </c>
      <c r="D31" s="151" t="str">
        <f>IF(Overview!$C$15="","",Overview!$C$15)</f>
        <v>2019-20</v>
      </c>
      <c r="E31" s="55">
        <v>39071</v>
      </c>
      <c r="F31" s="152">
        <f>IFERROR(VLOOKUP(Overview!$C$15,'GHG Emission Factors'!$B:$DJ,51,0),"")</f>
        <v>8.9309999999999987E-2</v>
      </c>
      <c r="G31" s="153">
        <f t="shared" si="1"/>
        <v>3.4894310099999992</v>
      </c>
      <c r="H31" s="119"/>
    </row>
    <row r="32" spans="2:8" x14ac:dyDescent="0.2">
      <c r="B32" s="1"/>
      <c r="C32" s="179"/>
      <c r="D32" s="164"/>
      <c r="E32" s="164"/>
      <c r="F32" s="164"/>
      <c r="G32" s="164"/>
      <c r="H32" s="119"/>
    </row>
    <row r="33" spans="2:9" x14ac:dyDescent="0.2">
      <c r="B33" s="1" t="s">
        <v>629</v>
      </c>
      <c r="C33" s="179"/>
      <c r="D33" s="164"/>
      <c r="E33" s="164"/>
      <c r="F33" s="164"/>
      <c r="G33" s="164"/>
      <c r="H33" s="119"/>
    </row>
    <row r="34" spans="2:9" x14ac:dyDescent="0.2">
      <c r="B34" s="1"/>
      <c r="C34" s="179"/>
      <c r="D34" s="164"/>
      <c r="E34" s="164"/>
      <c r="F34" s="164"/>
      <c r="G34" s="164"/>
      <c r="H34" s="119"/>
    </row>
    <row r="35" spans="2:9" ht="45" x14ac:dyDescent="0.2">
      <c r="B35" s="148" t="s">
        <v>509</v>
      </c>
      <c r="C35" s="16" t="s">
        <v>455</v>
      </c>
      <c r="D35" s="16" t="s">
        <v>59</v>
      </c>
      <c r="E35" s="16" t="s">
        <v>60</v>
      </c>
      <c r="F35" s="148" t="s">
        <v>61</v>
      </c>
      <c r="G35" s="148" t="s">
        <v>576</v>
      </c>
      <c r="H35" s="119"/>
    </row>
    <row r="36" spans="2:9" x14ac:dyDescent="0.2">
      <c r="B36" s="190" t="s">
        <v>630</v>
      </c>
      <c r="C36" s="150" t="s">
        <v>25</v>
      </c>
      <c r="D36" s="151" t="str">
        <f>IF(Overview!$C$15="","",Overview!$C$15)</f>
        <v>2019-20</v>
      </c>
      <c r="E36" s="55">
        <v>40819</v>
      </c>
      <c r="F36" s="152">
        <f>IFERROR(VLOOKUP(Overview!$C$15,'GHG Emission Factors'!$B:$DJ,52,0),"")</f>
        <v>7.3499999999999996E-2</v>
      </c>
      <c r="G36" s="153">
        <f>IF(E36="","Enter Consumption Figure",(E36*F36)/1000)</f>
        <v>3.0001964999999999</v>
      </c>
      <c r="H36" s="119"/>
    </row>
    <row r="37" spans="2:9" x14ac:dyDescent="0.2">
      <c r="B37" s="190" t="s">
        <v>631</v>
      </c>
      <c r="C37" s="150" t="s">
        <v>25</v>
      </c>
      <c r="D37" s="151" t="str">
        <f>IF(Overview!$C$15="","",Overview!$C$15)</f>
        <v>2019-20</v>
      </c>
      <c r="E37" s="55">
        <v>35382</v>
      </c>
      <c r="F37" s="152">
        <f>IFERROR(VLOOKUP(Overview!$C$15,'GHG Emission Factors'!$B:$DJ,53,0),"")</f>
        <v>8.5569999999999993E-2</v>
      </c>
      <c r="G37" s="153">
        <f>IF(E37="","Enter Consumption Figure",(E37*F37)/1000)</f>
        <v>3.0276377399999999</v>
      </c>
      <c r="H37" s="119"/>
    </row>
    <row r="38" spans="2:9" x14ac:dyDescent="0.2">
      <c r="B38" s="190" t="s">
        <v>632</v>
      </c>
      <c r="C38" s="150" t="s">
        <v>25</v>
      </c>
      <c r="D38" s="151" t="str">
        <f>IF(Overview!$C$15="","",Overview!$C$15)</f>
        <v>2019-20</v>
      </c>
      <c r="E38" s="55"/>
      <c r="F38" s="152">
        <f>IFERROR(VLOOKUP(Overview!$C$15,'GHG Emission Factors'!$B:$DJ,54,0),"")</f>
        <v>0.10764</v>
      </c>
      <c r="G38" s="153" t="str">
        <f>IF(E38="","Enter Consumption Figure",(E38*F38)/1000)</f>
        <v>Enter Consumption Figure</v>
      </c>
      <c r="H38" s="119"/>
    </row>
    <row r="39" spans="2:9" x14ac:dyDescent="0.2">
      <c r="B39" s="190" t="s">
        <v>633</v>
      </c>
      <c r="C39" s="150" t="s">
        <v>25</v>
      </c>
      <c r="D39" s="151" t="str">
        <f>IF(Overview!$C$15="","",Overview!$C$15)</f>
        <v>2019-20</v>
      </c>
      <c r="E39" s="55"/>
      <c r="F39" s="152">
        <f>IFERROR(VLOOKUP(Overview!$C$15,'GHG Emission Factors'!$B:$DJ,55,0),"")</f>
        <v>8.9309999999999987E-2</v>
      </c>
      <c r="G39" s="153" t="str">
        <f>IF(E39="","Enter Consumption Figure",(E39*F39)/1000)</f>
        <v>Enter Consumption Figure</v>
      </c>
      <c r="H39" s="119"/>
    </row>
    <row r="40" spans="2:9" x14ac:dyDescent="0.2">
      <c r="B40" s="1"/>
      <c r="C40" s="179"/>
      <c r="D40" s="164"/>
      <c r="E40" s="164"/>
      <c r="F40" s="164"/>
      <c r="G40" s="164"/>
      <c r="H40" s="119"/>
    </row>
    <row r="41" spans="2:9" x14ac:dyDescent="0.2">
      <c r="B41" s="1"/>
      <c r="C41" s="179"/>
      <c r="D41" s="164"/>
      <c r="E41" s="164"/>
      <c r="F41" s="164"/>
      <c r="G41" s="164"/>
      <c r="H41" s="119"/>
    </row>
    <row r="42" spans="2:9" x14ac:dyDescent="0.2">
      <c r="B42" s="1"/>
      <c r="C42" s="179"/>
      <c r="D42" s="164"/>
      <c r="E42" s="164"/>
      <c r="F42" s="164"/>
      <c r="G42" s="164"/>
      <c r="H42" s="119"/>
    </row>
    <row r="43" spans="2:9" ht="15" thickBot="1" x14ac:dyDescent="0.25">
      <c r="B43" s="63"/>
      <c r="C43" s="63"/>
      <c r="D43" s="63"/>
      <c r="E43" s="63"/>
      <c r="F43" s="63"/>
      <c r="G43" s="63"/>
      <c r="H43" s="119"/>
    </row>
    <row r="44" spans="2:9" x14ac:dyDescent="0.2">
      <c r="B44" s="119"/>
      <c r="C44" s="119"/>
      <c r="D44" s="119"/>
      <c r="E44" s="119"/>
      <c r="F44" s="119"/>
      <c r="G44" s="119"/>
      <c r="H44" s="119"/>
    </row>
    <row r="45" spans="2:9" s="60" customFormat="1" ht="15" x14ac:dyDescent="0.2">
      <c r="B45" s="138" t="s">
        <v>570</v>
      </c>
      <c r="C45" s="139"/>
      <c r="D45" s="139"/>
      <c r="E45" s="139"/>
      <c r="F45" s="139"/>
      <c r="G45" s="139"/>
      <c r="H45" s="119"/>
      <c r="I45" s="56"/>
    </row>
    <row r="46" spans="2:9" s="60" customFormat="1" ht="13.9" customHeight="1" x14ac:dyDescent="0.2">
      <c r="B46" s="272" t="s">
        <v>717</v>
      </c>
      <c r="C46" s="272"/>
      <c r="D46" s="272"/>
      <c r="E46" s="272"/>
      <c r="F46" s="272"/>
      <c r="G46" s="272"/>
      <c r="H46" s="119"/>
      <c r="I46" s="56"/>
    </row>
    <row r="47" spans="2:9" s="60" customFormat="1" x14ac:dyDescent="0.2">
      <c r="B47" s="272"/>
      <c r="C47" s="272"/>
      <c r="D47" s="272"/>
      <c r="E47" s="272"/>
      <c r="F47" s="272"/>
      <c r="G47" s="272"/>
      <c r="H47" s="119"/>
      <c r="I47" s="56"/>
    </row>
    <row r="48" spans="2:9" s="60" customFormat="1" x14ac:dyDescent="0.2">
      <c r="B48" s="272"/>
      <c r="C48" s="272"/>
      <c r="D48" s="272"/>
      <c r="E48" s="272"/>
      <c r="F48" s="272"/>
      <c r="G48" s="272"/>
      <c r="H48" s="119"/>
      <c r="I48" s="56"/>
    </row>
    <row r="49" spans="2:9" s="60" customFormat="1" x14ac:dyDescent="0.2">
      <c r="B49" s="272"/>
      <c r="C49" s="272"/>
      <c r="D49" s="272"/>
      <c r="E49" s="272"/>
      <c r="F49" s="272"/>
      <c r="G49" s="272"/>
      <c r="H49" s="119"/>
      <c r="I49" s="56"/>
    </row>
    <row r="50" spans="2:9" s="60" customFormat="1" x14ac:dyDescent="0.2">
      <c r="B50" s="272"/>
      <c r="C50" s="272"/>
      <c r="D50" s="272"/>
      <c r="E50" s="272"/>
      <c r="F50" s="272"/>
      <c r="G50" s="272"/>
      <c r="H50" s="119"/>
      <c r="I50" s="56"/>
    </row>
    <row r="51" spans="2:9" s="60" customFormat="1" x14ac:dyDescent="0.2">
      <c r="B51" s="272"/>
      <c r="C51" s="272"/>
      <c r="D51" s="272"/>
      <c r="E51" s="272"/>
      <c r="F51" s="272"/>
      <c r="G51" s="272"/>
      <c r="H51" s="119"/>
      <c r="I51" s="56"/>
    </row>
    <row r="52" spans="2:9" s="60" customFormat="1" x14ac:dyDescent="0.2">
      <c r="B52" s="272"/>
      <c r="C52" s="272"/>
      <c r="D52" s="272"/>
      <c r="E52" s="272"/>
      <c r="F52" s="272"/>
      <c r="G52" s="272"/>
      <c r="H52" s="119"/>
      <c r="I52" s="56"/>
    </row>
    <row r="53" spans="2:9" s="60" customFormat="1" x14ac:dyDescent="0.2">
      <c r="B53" s="272"/>
      <c r="C53" s="272"/>
      <c r="D53" s="272"/>
      <c r="E53" s="272"/>
      <c r="F53" s="272"/>
      <c r="G53" s="272"/>
      <c r="H53" s="119"/>
      <c r="I53" s="56"/>
    </row>
    <row r="54" spans="2:9" s="60" customFormat="1" x14ac:dyDescent="0.2">
      <c r="B54" s="272"/>
      <c r="C54" s="272"/>
      <c r="D54" s="272"/>
      <c r="E54" s="272"/>
      <c r="F54" s="272"/>
      <c r="G54" s="272"/>
      <c r="H54" s="119"/>
      <c r="I54" s="56"/>
    </row>
    <row r="55" spans="2:9" s="60" customFormat="1" x14ac:dyDescent="0.2">
      <c r="B55" s="272"/>
      <c r="C55" s="272"/>
      <c r="D55" s="272"/>
      <c r="E55" s="272"/>
      <c r="F55" s="272"/>
      <c r="G55" s="272"/>
      <c r="H55" s="119"/>
      <c r="I55" s="56"/>
    </row>
    <row r="56" spans="2:9" s="60" customFormat="1" x14ac:dyDescent="0.2">
      <c r="B56" s="272"/>
      <c r="C56" s="272"/>
      <c r="D56" s="272"/>
      <c r="E56" s="272"/>
      <c r="F56" s="272"/>
      <c r="G56" s="272"/>
      <c r="H56" s="119"/>
      <c r="I56" s="56"/>
    </row>
    <row r="57" spans="2:9" s="60" customFormat="1" x14ac:dyDescent="0.2">
      <c r="B57" s="272"/>
      <c r="C57" s="272"/>
      <c r="D57" s="272"/>
      <c r="E57" s="272"/>
      <c r="F57" s="272"/>
      <c r="G57" s="272"/>
      <c r="H57" s="119"/>
      <c r="I57" s="56"/>
    </row>
    <row r="58" spans="2:9" s="60" customFormat="1" x14ac:dyDescent="0.2">
      <c r="B58" s="272"/>
      <c r="C58" s="272"/>
      <c r="D58" s="272"/>
      <c r="E58" s="272"/>
      <c r="F58" s="272"/>
      <c r="G58" s="272"/>
      <c r="H58" s="119"/>
      <c r="I58" s="56"/>
    </row>
    <row r="59" spans="2:9" s="60" customFormat="1" x14ac:dyDescent="0.2">
      <c r="B59" s="272"/>
      <c r="C59" s="272"/>
      <c r="D59" s="272"/>
      <c r="E59" s="272"/>
      <c r="F59" s="272"/>
      <c r="G59" s="272"/>
      <c r="H59" s="119"/>
      <c r="I59" s="56"/>
    </row>
    <row r="60" spans="2:9" x14ac:dyDescent="0.2">
      <c r="B60" s="272"/>
      <c r="C60" s="272"/>
      <c r="D60" s="272"/>
      <c r="E60" s="272"/>
      <c r="F60" s="272"/>
      <c r="G60" s="272"/>
      <c r="H60" s="119"/>
    </row>
    <row r="61" spans="2:9" x14ac:dyDescent="0.2">
      <c r="B61" s="272"/>
      <c r="C61" s="272"/>
      <c r="D61" s="272"/>
      <c r="E61" s="272"/>
      <c r="F61" s="272"/>
      <c r="G61" s="272"/>
      <c r="H61" s="119"/>
    </row>
    <row r="62" spans="2:9" x14ac:dyDescent="0.2">
      <c r="B62" s="272"/>
      <c r="C62" s="272"/>
      <c r="D62" s="272"/>
      <c r="E62" s="272"/>
      <c r="F62" s="272"/>
      <c r="G62" s="272"/>
      <c r="H62" s="119"/>
    </row>
    <row r="63" spans="2:9" x14ac:dyDescent="0.2">
      <c r="B63" s="272"/>
      <c r="C63" s="272"/>
      <c r="D63" s="272"/>
      <c r="E63" s="272"/>
      <c r="F63" s="272"/>
      <c r="G63" s="272"/>
      <c r="H63" s="119"/>
    </row>
    <row r="64" spans="2:9" x14ac:dyDescent="0.2">
      <c r="B64" s="272"/>
      <c r="C64" s="272"/>
      <c r="D64" s="272"/>
      <c r="E64" s="272"/>
      <c r="F64" s="272"/>
      <c r="G64" s="272"/>
      <c r="H64" s="119"/>
    </row>
    <row r="65" spans="2:8" x14ac:dyDescent="0.2">
      <c r="B65" s="272"/>
      <c r="C65" s="272"/>
      <c r="D65" s="272"/>
      <c r="E65" s="272"/>
      <c r="F65" s="272"/>
      <c r="G65" s="272"/>
      <c r="H65" s="119"/>
    </row>
    <row r="66" spans="2:8" x14ac:dyDescent="0.2">
      <c r="B66" s="272"/>
      <c r="C66" s="272"/>
      <c r="D66" s="272"/>
      <c r="E66" s="272"/>
      <c r="F66" s="272"/>
      <c r="G66" s="272"/>
      <c r="H66" s="119"/>
    </row>
    <row r="67" spans="2:8" x14ac:dyDescent="0.2">
      <c r="B67" s="272"/>
      <c r="C67" s="272"/>
      <c r="D67" s="272"/>
      <c r="E67" s="272"/>
      <c r="F67" s="272"/>
      <c r="G67" s="272"/>
      <c r="H67" s="119"/>
    </row>
    <row r="69" spans="2:8" ht="15" x14ac:dyDescent="0.2">
      <c r="B69" s="111" t="s">
        <v>554</v>
      </c>
      <c r="C69" s="112"/>
      <c r="D69" s="112"/>
    </row>
    <row r="70" spans="2:8" x14ac:dyDescent="0.2">
      <c r="B70" s="241" t="s">
        <v>613</v>
      </c>
      <c r="C70" s="241"/>
      <c r="D70" s="241"/>
    </row>
  </sheetData>
  <mergeCells count="6">
    <mergeCell ref="B70:D70"/>
    <mergeCell ref="B8:C8"/>
    <mergeCell ref="B9:C9"/>
    <mergeCell ref="B10:C10"/>
    <mergeCell ref="B11:C11"/>
    <mergeCell ref="B46:G67"/>
  </mergeCells>
  <conditionalFormatting sqref="G18:G19">
    <cfRule type="cellIs" dxfId="39" priority="8" operator="equal">
      <formula>"Enter Consumption Figure"</formula>
    </cfRule>
  </conditionalFormatting>
  <conditionalFormatting sqref="B18:B20">
    <cfRule type="duplicateValues" dxfId="38" priority="7"/>
  </conditionalFormatting>
  <conditionalFormatting sqref="B24:B27">
    <cfRule type="duplicateValues" dxfId="37" priority="6"/>
  </conditionalFormatting>
  <conditionalFormatting sqref="B28:B31">
    <cfRule type="duplicateValues" dxfId="36" priority="5"/>
  </conditionalFormatting>
  <conditionalFormatting sqref="G24:G31">
    <cfRule type="cellIs" dxfId="35" priority="4" operator="equal">
      <formula>"Enter Consumption Figure"</formula>
    </cfRule>
  </conditionalFormatting>
  <conditionalFormatting sqref="B36:B39">
    <cfRule type="duplicateValues" dxfId="34" priority="3"/>
  </conditionalFormatting>
  <conditionalFormatting sqref="G36:G39">
    <cfRule type="cellIs" dxfId="33" priority="1" operator="equal">
      <formula>"Enter Consumption Figure"</formula>
    </cfRule>
  </conditionalFormatting>
  <dataValidations count="1">
    <dataValidation type="custom" allowBlank="1" showInputMessage="1" showErrorMessage="1" errorTitle="Not a Valid Value" error="The data entered is not a valid value, please click the &quot;Retry&quot; button and enter the consumption figure in a number format." sqref="E18:E19 E24:E31 E36:E39" xr:uid="{ADA8D980-28FB-4480-812D-D1338C1EDF93}">
      <formula1>ISNUMBER(E18)</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70B4-D712-4D84-8E71-650CA35E3A7B}">
  <sheetPr>
    <tabColor rgb="FF00C18B"/>
  </sheetPr>
  <dimension ref="B1:J137"/>
  <sheetViews>
    <sheetView showGridLines="0" topLeftCell="A73" zoomScale="80" zoomScaleNormal="80" workbookViewId="0">
      <selection activeCell="H67" sqref="H67"/>
    </sheetView>
  </sheetViews>
  <sheetFormatPr defaultColWidth="9.75" defaultRowHeight="14.25" x14ac:dyDescent="0.2"/>
  <cols>
    <col min="1" max="1" width="8.625" style="56" customWidth="1"/>
    <col min="2" max="2" width="58.25" style="56" bestFit="1" customWidth="1"/>
    <col min="3" max="3" width="28.75" style="56" bestFit="1" customWidth="1"/>
    <col min="4" max="4" width="23.75" style="56" customWidth="1"/>
    <col min="5" max="5" width="16.25" style="56" customWidth="1"/>
    <col min="6" max="6" width="13" style="56" bestFit="1" customWidth="1"/>
    <col min="7" max="7" width="23" style="56" bestFit="1" customWidth="1"/>
    <col min="8" max="8" width="22.25" style="56" customWidth="1"/>
    <col min="9" max="9" width="9.75" style="56"/>
    <col min="10" max="10" width="10.875" style="56" customWidth="1"/>
    <col min="11" max="16384" width="9.75" style="56"/>
  </cols>
  <sheetData>
    <row r="1" spans="2:7" s="60" customFormat="1" x14ac:dyDescent="0.2"/>
    <row r="2" spans="2:7" s="60" customFormat="1" x14ac:dyDescent="0.2"/>
    <row r="3" spans="2:7" s="60" customFormat="1" x14ac:dyDescent="0.2"/>
    <row r="4" spans="2:7" s="60" customFormat="1" x14ac:dyDescent="0.2">
      <c r="F4" s="56"/>
      <c r="G4" s="56"/>
    </row>
    <row r="5" spans="2:7" s="60" customFormat="1" x14ac:dyDescent="0.2">
      <c r="F5" s="56"/>
      <c r="G5" s="56"/>
    </row>
    <row r="6" spans="2:7" s="60" customFormat="1" x14ac:dyDescent="0.2">
      <c r="F6" s="56"/>
      <c r="G6" s="56"/>
    </row>
    <row r="7" spans="2:7" s="60" customFormat="1" x14ac:dyDescent="0.2">
      <c r="F7" s="56"/>
      <c r="G7" s="56"/>
    </row>
    <row r="8" spans="2:7" s="60" customFormat="1" ht="15" x14ac:dyDescent="0.2">
      <c r="B8" s="113" t="s">
        <v>553</v>
      </c>
      <c r="F8" s="56"/>
      <c r="G8" s="56"/>
    </row>
    <row r="9" spans="2:7" s="60" customFormat="1" x14ac:dyDescent="0.2">
      <c r="B9" s="59" t="s">
        <v>466</v>
      </c>
      <c r="F9" s="56"/>
      <c r="G9" s="56"/>
    </row>
    <row r="10" spans="2:7" s="60" customFormat="1" x14ac:dyDescent="0.2">
      <c r="B10" s="61" t="s">
        <v>469</v>
      </c>
      <c r="F10" s="56"/>
      <c r="G10" s="56"/>
    </row>
    <row r="11" spans="2:7" x14ac:dyDescent="0.2">
      <c r="B11" s="62" t="s">
        <v>467</v>
      </c>
    </row>
    <row r="12" spans="2:7" ht="15" thickBot="1" x14ac:dyDescent="0.25">
      <c r="B12" s="142"/>
      <c r="C12" s="142"/>
      <c r="D12" s="142"/>
      <c r="E12" s="142"/>
      <c r="F12" s="142"/>
      <c r="G12" s="142"/>
    </row>
    <row r="13" spans="2:7" x14ac:dyDescent="0.2">
      <c r="B13" s="119"/>
      <c r="C13" s="119"/>
      <c r="D13" s="119"/>
      <c r="E13" s="119"/>
      <c r="F13" s="119"/>
      <c r="G13" s="119"/>
    </row>
    <row r="14" spans="2:7" ht="20.25" x14ac:dyDescent="0.2">
      <c r="B14" s="118" t="s">
        <v>46</v>
      </c>
      <c r="C14" s="119"/>
      <c r="D14" s="119"/>
      <c r="E14" s="119"/>
      <c r="F14" s="119"/>
      <c r="G14" s="119"/>
    </row>
    <row r="15" spans="2:7" customFormat="1" x14ac:dyDescent="0.2">
      <c r="B15" s="1" t="s">
        <v>539</v>
      </c>
      <c r="C15" s="1"/>
      <c r="D15" s="1"/>
      <c r="E15" s="1"/>
      <c r="F15" s="1"/>
      <c r="G15" s="1"/>
    </row>
    <row r="16" spans="2:7" customFormat="1" x14ac:dyDescent="0.2">
      <c r="B16" s="1"/>
      <c r="C16" s="1"/>
      <c r="D16" s="1"/>
      <c r="E16" s="1"/>
      <c r="F16" s="1"/>
      <c r="G16" s="1"/>
    </row>
    <row r="17" spans="2:7" customFormat="1" ht="31.5" x14ac:dyDescent="0.2">
      <c r="B17" s="148" t="s">
        <v>509</v>
      </c>
      <c r="C17" s="16" t="s">
        <v>455</v>
      </c>
      <c r="D17" s="16" t="s">
        <v>59</v>
      </c>
      <c r="E17" s="16" t="s">
        <v>60</v>
      </c>
      <c r="F17" s="148" t="s">
        <v>61</v>
      </c>
      <c r="G17" s="148" t="s">
        <v>576</v>
      </c>
    </row>
    <row r="18" spans="2:7" customFormat="1" x14ac:dyDescent="0.2">
      <c r="B18" s="149" t="s">
        <v>520</v>
      </c>
      <c r="C18" s="150" t="s">
        <v>25</v>
      </c>
      <c r="D18" s="151" t="str">
        <f>IF(Overview!$C$15="","",Overview!$C$15)</f>
        <v>2019-20</v>
      </c>
      <c r="E18" s="55"/>
      <c r="F18" s="152">
        <f>IFERROR(VLOOKUP(Overview!$C$15,'GHG Emission Factors'!$B:$DJ,56,0),"")</f>
        <v>0.13591</v>
      </c>
      <c r="G18" s="153" t="str">
        <f>IF(E18="","Enter Consumption Figure",(E18*F18)/1000)</f>
        <v>Enter Consumption Figure</v>
      </c>
    </row>
    <row r="19" spans="2:7" customFormat="1" x14ac:dyDescent="0.2">
      <c r="B19" s="149" t="s">
        <v>600</v>
      </c>
      <c r="C19" s="150" t="s">
        <v>25</v>
      </c>
      <c r="D19" s="151" t="str">
        <f>IF(Overview!$C$15="","",Overview!$C$15)</f>
        <v>2019-20</v>
      </c>
      <c r="E19" s="55"/>
      <c r="F19" s="152">
        <f>IFERROR(VLOOKUP(Overview!$C$15,'GHG Emission Factors'!$B:$DJ,57,0),"")</f>
        <v>0.16559000000000001</v>
      </c>
      <c r="G19" s="153" t="str">
        <f t="shared" ref="G19:G30" si="0">IF(E19="","Enter Consumption Figure",(E19*F19)/1000)</f>
        <v>Enter Consumption Figure</v>
      </c>
    </row>
    <row r="20" spans="2:7" customFormat="1" x14ac:dyDescent="0.2">
      <c r="B20" s="25" t="s">
        <v>601</v>
      </c>
      <c r="C20" s="150" t="s">
        <v>25</v>
      </c>
      <c r="D20" s="151" t="str">
        <f>IF(Overview!$C$15="","",Overview!$C$15)</f>
        <v>2019-20</v>
      </c>
      <c r="E20" s="55"/>
      <c r="F20" s="152">
        <f>IFERROR(VLOOKUP(Overview!$C$15,'GHG Emission Factors'!$B:$DJ,58,0),"")</f>
        <v>0.28502</v>
      </c>
      <c r="G20" s="153" t="str">
        <f t="shared" si="0"/>
        <v>Enter Consumption Figure</v>
      </c>
    </row>
    <row r="21" spans="2:7" customFormat="1" x14ac:dyDescent="0.2">
      <c r="B21" s="25" t="s">
        <v>517</v>
      </c>
      <c r="C21" s="150" t="s">
        <v>25</v>
      </c>
      <c r="D21" s="151" t="str">
        <f>IF(Overview!$C$15="","",Overview!$C$15)</f>
        <v>2019-20</v>
      </c>
      <c r="E21" s="55"/>
      <c r="F21" s="152">
        <f>IFERROR(VLOOKUP(Overview!$C$15,'GHG Emission Factors'!$B:$DJ,59,0),"")</f>
        <v>0.24736</v>
      </c>
      <c r="G21" s="153" t="str">
        <f t="shared" si="0"/>
        <v>Enter Consumption Figure</v>
      </c>
    </row>
    <row r="22" spans="2:7" customFormat="1" x14ac:dyDescent="0.2">
      <c r="B22" s="25" t="s">
        <v>521</v>
      </c>
      <c r="C22" s="150" t="s">
        <v>25</v>
      </c>
      <c r="D22" s="151" t="str">
        <f>IF(Overview!$C$15="","",Overview!$C$15)</f>
        <v>2019-20</v>
      </c>
      <c r="E22" s="55"/>
      <c r="F22" s="152">
        <f>IFERROR(VLOOKUP(Overview!$C$15,'GHG Emission Factors'!$B:$DJ,60,0),"")</f>
        <v>0.30945</v>
      </c>
      <c r="G22" s="153" t="str">
        <f t="shared" si="0"/>
        <v>Enter Consumption Figure</v>
      </c>
    </row>
    <row r="23" spans="2:7" customFormat="1" x14ac:dyDescent="0.2">
      <c r="B23" s="25" t="s">
        <v>522</v>
      </c>
      <c r="C23" s="150" t="s">
        <v>25</v>
      </c>
      <c r="D23" s="151" t="str">
        <f>IF(Overview!$C$15="","",Overview!$C$15)</f>
        <v>2019-20</v>
      </c>
      <c r="E23" s="55"/>
      <c r="F23" s="152">
        <f>IFERROR(VLOOKUP(Overview!$C$15,'GHG Emission Factors'!$B:$DJ,61,0),"")</f>
        <v>0.45535999999999999</v>
      </c>
      <c r="G23" s="153" t="str">
        <f t="shared" si="0"/>
        <v>Enter Consumption Figure</v>
      </c>
    </row>
    <row r="24" spans="2:7" customFormat="1" x14ac:dyDescent="0.2">
      <c r="B24" s="25" t="s">
        <v>602</v>
      </c>
      <c r="C24" s="150" t="s">
        <v>25</v>
      </c>
      <c r="D24" s="151" t="str">
        <f>IF(Overview!$C$15="","",Overview!$C$15)</f>
        <v>2019-20</v>
      </c>
      <c r="E24" s="55"/>
      <c r="F24" s="152">
        <f>IFERROR(VLOOKUP(Overview!$C$15,'GHG Emission Factors'!$B:$DJ,62,0),"")</f>
        <v>0.22868000000000002</v>
      </c>
      <c r="G24" s="153" t="str">
        <f>IF(E24="","Enter Consumption Figure",(E24*F24)/1000)</f>
        <v>Enter Consumption Figure</v>
      </c>
    </row>
    <row r="25" spans="2:7" customFormat="1" x14ac:dyDescent="0.2">
      <c r="B25" s="25" t="s">
        <v>603</v>
      </c>
      <c r="C25" s="150" t="s">
        <v>25</v>
      </c>
      <c r="D25" s="151" t="str">
        <f>IF(Overview!$C$15="","",Overview!$C$15)</f>
        <v>2019-20</v>
      </c>
      <c r="E25" s="55"/>
      <c r="F25" s="152">
        <f>IFERROR(VLOOKUP(Overview!$C$15,'GHG Emission Factors'!$B:$DJ,63,0),"")</f>
        <v>0.27459</v>
      </c>
      <c r="G25" s="153" t="str">
        <f>IF(E25="","Enter Consumption Figure",(E25*F25)/1000)</f>
        <v>Enter Consumption Figure</v>
      </c>
    </row>
    <row r="26" spans="2:7" customFormat="1" x14ac:dyDescent="0.2">
      <c r="B26" s="25" t="s">
        <v>519</v>
      </c>
      <c r="C26" s="150" t="s">
        <v>25</v>
      </c>
      <c r="D26" s="151" t="str">
        <f>IF(Overview!$C$15="","",Overview!$C$15)</f>
        <v>2019-20</v>
      </c>
      <c r="E26" s="55"/>
      <c r="F26" s="152">
        <f>IFERROR(VLOOKUP(Overview!$C$15,'GHG Emission Factors'!$B:$DJ,64,0),"")</f>
        <v>0.33712999999999999</v>
      </c>
      <c r="G26" s="153" t="str">
        <f>IF(E26="","Enter Consumption Figure",(E26*F26)/1000)</f>
        <v>Enter Consumption Figure</v>
      </c>
    </row>
    <row r="27" spans="2:7" customFormat="1" x14ac:dyDescent="0.2">
      <c r="B27" s="25" t="s">
        <v>518</v>
      </c>
      <c r="C27" s="150" t="s">
        <v>25</v>
      </c>
      <c r="D27" s="151" t="str">
        <f>IF(Overview!$C$15="","",Overview!$C$15)</f>
        <v>2019-20</v>
      </c>
      <c r="E27" s="55"/>
      <c r="F27" s="152">
        <f>IFERROR(VLOOKUP(Overview!$C$15,'GHG Emission Factors'!$B:$DJ,65,0),"")</f>
        <v>0.16930000000000001</v>
      </c>
      <c r="G27" s="153" t="str">
        <f t="shared" si="0"/>
        <v>Enter Consumption Figure</v>
      </c>
    </row>
    <row r="28" spans="2:7" customFormat="1" x14ac:dyDescent="0.2">
      <c r="B28" s="25" t="s">
        <v>544</v>
      </c>
      <c r="C28" s="150" t="s">
        <v>25</v>
      </c>
      <c r="D28" s="151" t="str">
        <f>IF(Overview!$C$15="","",Overview!$C$15)</f>
        <v>2019-20</v>
      </c>
      <c r="E28" s="55"/>
      <c r="F28" s="152">
        <f>IFERROR(VLOOKUP(Overview!$C$15,'GHG Emission Factors'!$B:$DJ,66,0),"")</f>
        <v>0.17534</v>
      </c>
      <c r="G28" s="153" t="str">
        <f t="shared" si="0"/>
        <v>Enter Consumption Figure</v>
      </c>
    </row>
    <row r="29" spans="2:7" customFormat="1" x14ac:dyDescent="0.2">
      <c r="B29" s="25" t="s">
        <v>545</v>
      </c>
      <c r="C29" s="150" t="s">
        <v>25</v>
      </c>
      <c r="D29" s="151" t="str">
        <f>IF(Overview!$C$15="","",Overview!$C$15)</f>
        <v>2019-20</v>
      </c>
      <c r="E29" s="55"/>
      <c r="F29" s="152">
        <f>IFERROR(VLOOKUP(Overview!$C$15,'GHG Emission Factors'!$B:$DJ,67,0),"")</f>
        <v>0.21207000000000001</v>
      </c>
      <c r="G29" s="153" t="str">
        <f t="shared" si="0"/>
        <v>Enter Consumption Figure</v>
      </c>
    </row>
    <row r="30" spans="2:7" customFormat="1" x14ac:dyDescent="0.2">
      <c r="B30" s="25" t="s">
        <v>542</v>
      </c>
      <c r="C30" s="150" t="s">
        <v>25</v>
      </c>
      <c r="D30" s="151" t="str">
        <f>IF(Overview!$C$15="","",Overview!$C$15)</f>
        <v>2019-20</v>
      </c>
      <c r="E30" s="55"/>
      <c r="F30" s="152">
        <f>IFERROR(VLOOKUP(Overview!$C$15,'GHG Emission Factors'!$B:$DJ,68,0),"")</f>
        <v>8.931E-2</v>
      </c>
      <c r="G30" s="153" t="str">
        <f t="shared" si="0"/>
        <v>Enter Consumption Figure</v>
      </c>
    </row>
    <row r="31" spans="2:7" ht="20.25" x14ac:dyDescent="0.2">
      <c r="B31" s="118"/>
      <c r="C31" s="119"/>
      <c r="D31" s="119"/>
      <c r="E31" s="119"/>
      <c r="F31" s="119"/>
      <c r="G31" s="119"/>
    </row>
    <row r="32" spans="2:7" x14ac:dyDescent="0.2">
      <c r="B32" s="120" t="s">
        <v>604</v>
      </c>
      <c r="C32" s="119"/>
      <c r="D32" s="119"/>
      <c r="E32" s="119"/>
      <c r="F32" s="119"/>
      <c r="G32" s="119"/>
    </row>
    <row r="33" spans="2:7" x14ac:dyDescent="0.2">
      <c r="B33" s="119"/>
      <c r="C33" s="119"/>
      <c r="D33" s="119"/>
      <c r="E33" s="119"/>
      <c r="F33" s="119"/>
      <c r="G33" s="119"/>
    </row>
    <row r="34" spans="2:7" ht="31.5" x14ac:dyDescent="0.2">
      <c r="B34" s="122" t="s">
        <v>509</v>
      </c>
      <c r="C34" s="121" t="s">
        <v>455</v>
      </c>
      <c r="D34" s="121" t="s">
        <v>59</v>
      </c>
      <c r="E34" s="121" t="s">
        <v>60</v>
      </c>
      <c r="F34" s="122" t="s">
        <v>61</v>
      </c>
      <c r="G34" s="122" t="s">
        <v>576</v>
      </c>
    </row>
    <row r="35" spans="2:7" x14ac:dyDescent="0.2">
      <c r="B35" s="124" t="s">
        <v>472</v>
      </c>
      <c r="C35" s="18" t="s">
        <v>524</v>
      </c>
      <c r="D35" s="126" t="str">
        <f>IF(Overview!$C$15="","",Overview!$C$15)</f>
        <v>2019-20</v>
      </c>
      <c r="E35" s="55"/>
      <c r="F35" s="127">
        <f>IF(C35="Miles",VLOOKUP(Overview!$C$15,'GHG Emission Factors'!$B:$DJ,16,0),VLOOKUP(Overview!$C$15,'GHG Emission Factors'!$B:$DJ,41,0))</f>
        <v>2.5941100000000001</v>
      </c>
      <c r="G35" s="128" t="str">
        <f t="shared" ref="G35:G61" si="1">IF(E35="","Enter Consumption Figure",(E35*F35)/1000)</f>
        <v>Enter Consumption Figure</v>
      </c>
    </row>
    <row r="36" spans="2:7" x14ac:dyDescent="0.2">
      <c r="B36" s="124" t="s">
        <v>476</v>
      </c>
      <c r="C36" s="18" t="s">
        <v>524</v>
      </c>
      <c r="D36" s="126" t="str">
        <f>IF(Overview!$C$15="","",Overview!$C$15)</f>
        <v>2019-20</v>
      </c>
      <c r="E36" s="55"/>
      <c r="F36" s="127">
        <f>IF(C36="Miles",VLOOKUP(Overview!$C$15,'GHG Emission Factors'!$B:$DJ,17,0),VLOOKUP(Overview!$C$15,'GHG Emission Factors'!$B:$DJ,41,0))</f>
        <v>2.5941100000000001</v>
      </c>
      <c r="G36" s="128" t="str">
        <f t="shared" si="1"/>
        <v>Enter Consumption Figure</v>
      </c>
    </row>
    <row r="37" spans="2:7" x14ac:dyDescent="0.2">
      <c r="B37" s="124" t="s">
        <v>519</v>
      </c>
      <c r="C37" s="18" t="s">
        <v>524</v>
      </c>
      <c r="D37" s="126" t="str">
        <f>IF(Overview!$C$15="","",Overview!$C$15)</f>
        <v>2019-20</v>
      </c>
      <c r="E37" s="55"/>
      <c r="F37" s="127">
        <f>IF(C37="Miles",VLOOKUP(Overview!$C$15,'GHG Emission Factors'!$B:$DJ,18,0),VLOOKUP(Overview!$C$15,'GHG Emission Factors'!$B:$DJ,41,0))</f>
        <v>2.5941100000000001</v>
      </c>
      <c r="G37" s="128" t="str">
        <f t="shared" si="1"/>
        <v>Enter Consumption Figure</v>
      </c>
    </row>
    <row r="38" spans="2:7" x14ac:dyDescent="0.2">
      <c r="B38" s="124" t="s">
        <v>515</v>
      </c>
      <c r="C38" s="18" t="s">
        <v>524</v>
      </c>
      <c r="D38" s="126" t="str">
        <f>IF(Overview!$C$15="","",Overview!$C$15)</f>
        <v>2019-20</v>
      </c>
      <c r="E38" s="55"/>
      <c r="F38" s="127">
        <f>IF(C38="Miles",VLOOKUP(Overview!$C$15,'GHG Emission Factors'!$B:$DJ,19,0),VLOOKUP(Overview!$C$15,'GHG Emission Factors'!$B:$DJ,41,0))</f>
        <v>2.5941100000000001</v>
      </c>
      <c r="G38" s="128" t="str">
        <f t="shared" si="1"/>
        <v>Enter Consumption Figure</v>
      </c>
    </row>
    <row r="39" spans="2:7" x14ac:dyDescent="0.2">
      <c r="B39" s="124" t="s">
        <v>477</v>
      </c>
      <c r="C39" s="18" t="s">
        <v>524</v>
      </c>
      <c r="D39" s="126" t="str">
        <f>IF(Overview!$C$15="","",Overview!$C$15)</f>
        <v>2019-20</v>
      </c>
      <c r="E39" s="55"/>
      <c r="F39" s="127">
        <f>IF(C39="Miles",VLOOKUP(Overview!$C$15,'GHG Emission Factors'!$B:$DJ,20,0),VLOOKUP(Overview!$C$15,'GHG Emission Factors'!$B:$DJ,41,0))</f>
        <v>2.5941100000000001</v>
      </c>
      <c r="G39" s="128" t="str">
        <f t="shared" si="1"/>
        <v>Enter Consumption Figure</v>
      </c>
    </row>
    <row r="40" spans="2:7" x14ac:dyDescent="0.2">
      <c r="B40" s="124" t="s">
        <v>12</v>
      </c>
      <c r="C40" s="18" t="s">
        <v>524</v>
      </c>
      <c r="D40" s="126" t="str">
        <f>IF(Overview!$C$15="","",Overview!$C$15)</f>
        <v>2019-20</v>
      </c>
      <c r="E40" s="55"/>
      <c r="F40" s="127">
        <f>IF(C40="Miles",VLOOKUP(Overview!$C$15,'GHG Emission Factors'!$B:$DJ,21,0),VLOOKUP(Overview!$C$15,'GHG Emission Factors'!$B:$DJ,41,0))</f>
        <v>2.5941100000000001</v>
      </c>
      <c r="G40" s="128" t="str">
        <f t="shared" si="1"/>
        <v>Enter Consumption Figure</v>
      </c>
    </row>
    <row r="41" spans="2:7" x14ac:dyDescent="0.2">
      <c r="B41" s="124" t="s">
        <v>13</v>
      </c>
      <c r="C41" s="18" t="s">
        <v>524</v>
      </c>
      <c r="D41" s="126" t="str">
        <f>IF(Overview!$C$15="","",Overview!$C$15)</f>
        <v>2019-20</v>
      </c>
      <c r="E41" s="55"/>
      <c r="F41" s="127">
        <f>IF(C41="Miles",VLOOKUP(Overview!$C$15,'GHG Emission Factors'!$B:$DJ,22,0),VLOOKUP(Overview!$C$15,'GHG Emission Factors'!$B:$DJ,41,0))</f>
        <v>2.5941100000000001</v>
      </c>
      <c r="G41" s="128" t="str">
        <f t="shared" si="1"/>
        <v>Enter Consumption Figure</v>
      </c>
    </row>
    <row r="42" spans="2:7" x14ac:dyDescent="0.2">
      <c r="B42" s="124" t="s">
        <v>14</v>
      </c>
      <c r="C42" s="18" t="s">
        <v>524</v>
      </c>
      <c r="D42" s="126" t="str">
        <f>IF(Overview!$C$15="","",Overview!$C$15)</f>
        <v>2019-20</v>
      </c>
      <c r="E42" s="55"/>
      <c r="F42" s="127">
        <f>IF(C42="Miles",VLOOKUP(Overview!$C$15,'GHG Emission Factors'!$B:$DJ,23,0),VLOOKUP(Overview!$C$15,'GHG Emission Factors'!$B:$DJ,41,0))</f>
        <v>2.5941100000000001</v>
      </c>
      <c r="G42" s="128" t="str">
        <f t="shared" si="1"/>
        <v>Enter Consumption Figure</v>
      </c>
    </row>
    <row r="43" spans="2:7" x14ac:dyDescent="0.2">
      <c r="B43" s="124" t="s">
        <v>516</v>
      </c>
      <c r="C43" s="18" t="s">
        <v>524</v>
      </c>
      <c r="D43" s="126" t="str">
        <f>IF(Overview!$C$15="","",Overview!$C$15)</f>
        <v>2019-20</v>
      </c>
      <c r="E43" s="55"/>
      <c r="F43" s="127">
        <f>IF(C43="Miles",VLOOKUP(Overview!$C$15,'GHG Emission Factors'!$B:$DJ,24,0),VLOOKUP(Overview!$C$15,'GHG Emission Factors'!$B:$DJ,41,0))</f>
        <v>2.5941100000000001</v>
      </c>
      <c r="G43" s="128" t="str">
        <f t="shared" si="1"/>
        <v>Enter Consumption Figure</v>
      </c>
    </row>
    <row r="44" spans="2:7" x14ac:dyDescent="0.2">
      <c r="B44" s="124" t="s">
        <v>517</v>
      </c>
      <c r="C44" s="18" t="s">
        <v>524</v>
      </c>
      <c r="D44" s="126" t="str">
        <f>IF(Overview!$C$15="","",Overview!$C$15)</f>
        <v>2019-20</v>
      </c>
      <c r="E44" s="55"/>
      <c r="F44" s="127">
        <f>IF(C44="Miles",VLOOKUP(Overview!$C$15,'GHG Emission Factors'!$B:$DJ,25,0),VLOOKUP(Overview!$C$15,'GHG Emission Factors'!$B:$DJ,42,0))</f>
        <v>2.2090399999999999</v>
      </c>
      <c r="G44" s="128" t="str">
        <f t="shared" si="1"/>
        <v>Enter Consumption Figure</v>
      </c>
    </row>
    <row r="45" spans="2:7" x14ac:dyDescent="0.2">
      <c r="B45" s="124" t="s">
        <v>521</v>
      </c>
      <c r="C45" s="18" t="s">
        <v>524</v>
      </c>
      <c r="D45" s="126" t="str">
        <f>IF(Overview!$C$15="","",Overview!$C$15)</f>
        <v>2019-20</v>
      </c>
      <c r="E45" s="55"/>
      <c r="F45" s="127">
        <f>IF(C45="Miles",VLOOKUP(Overview!$C$15,'GHG Emission Factors'!$B:$DJ,26,0),VLOOKUP(Overview!$C$15,'GHG Emission Factors'!$B:$DJ,42,0))</f>
        <v>2.2090399999999999</v>
      </c>
      <c r="G45" s="128" t="str">
        <f t="shared" si="1"/>
        <v>Enter Consumption Figure</v>
      </c>
    </row>
    <row r="46" spans="2:7" x14ac:dyDescent="0.2">
      <c r="B46" s="124" t="s">
        <v>522</v>
      </c>
      <c r="C46" s="18" t="s">
        <v>524</v>
      </c>
      <c r="D46" s="126" t="str">
        <f>IF(Overview!$C$15="","",Overview!$C$15)</f>
        <v>2019-20</v>
      </c>
      <c r="E46" s="55"/>
      <c r="F46" s="127">
        <f>IF(C46="Miles",VLOOKUP(Overview!$C$15,'GHG Emission Factors'!$B:$DJ,27,0),VLOOKUP(Overview!$C$15,'GHG Emission Factors'!$B:$DJ,42,0))</f>
        <v>2.2090399999999999</v>
      </c>
      <c r="G46" s="128" t="str">
        <f t="shared" si="1"/>
        <v>Enter Consumption Figure</v>
      </c>
    </row>
    <row r="47" spans="2:7" x14ac:dyDescent="0.2">
      <c r="B47" s="124" t="s">
        <v>518</v>
      </c>
      <c r="C47" s="18" t="s">
        <v>524</v>
      </c>
      <c r="D47" s="126" t="str">
        <f>IF(Overview!$C$15="","",Overview!$C$15)</f>
        <v>2019-20</v>
      </c>
      <c r="E47" s="55"/>
      <c r="F47" s="127">
        <f>IF(C47="Miles",VLOOKUP(Overview!$C$15,'GHG Emission Factors'!$B:$DJ,28,0),VLOOKUP(Overview!$C$15,'GHG Emission Factors'!$B:$DJ,42,0))</f>
        <v>2.2090399999999999</v>
      </c>
      <c r="G47" s="128" t="str">
        <f t="shared" si="1"/>
        <v>Enter Consumption Figure</v>
      </c>
    </row>
    <row r="48" spans="2:7" x14ac:dyDescent="0.2">
      <c r="B48" s="124" t="s">
        <v>544</v>
      </c>
      <c r="C48" s="18" t="s">
        <v>524</v>
      </c>
      <c r="D48" s="126" t="str">
        <f>IF(Overview!$C$15="","",Overview!$C$15)</f>
        <v>2019-20</v>
      </c>
      <c r="E48" s="55"/>
      <c r="F48" s="127">
        <f>IF(C48="Miles",VLOOKUP(Overview!$C$15,'GHG Emission Factors'!$B:$DJ,29,0),VLOOKUP(Overview!$C$15,'GHG Emission Factors'!$B:$DJ,42,0))</f>
        <v>2.2090399999999999</v>
      </c>
      <c r="G48" s="128" t="str">
        <f t="shared" si="1"/>
        <v>Enter Consumption Figure</v>
      </c>
    </row>
    <row r="49" spans="2:7" x14ac:dyDescent="0.2">
      <c r="B49" s="124" t="s">
        <v>545</v>
      </c>
      <c r="C49" s="18" t="s">
        <v>524</v>
      </c>
      <c r="D49" s="126" t="str">
        <f>IF(Overview!$C$15="","",Overview!$C$15)</f>
        <v>2019-20</v>
      </c>
      <c r="E49" s="55"/>
      <c r="F49" s="127">
        <f>IF(C49="Miles",VLOOKUP(Overview!$C$15,'GHG Emission Factors'!$B:$DJ,30,0),VLOOKUP(Overview!$C$15,'GHG Emission Factors'!$B:$DJ,42,0))</f>
        <v>2.2090399999999999</v>
      </c>
      <c r="G49" s="128" t="str">
        <f t="shared" si="1"/>
        <v>Enter Consumption Figure</v>
      </c>
    </row>
    <row r="50" spans="2:7" x14ac:dyDescent="0.2">
      <c r="B50" s="124" t="s">
        <v>542</v>
      </c>
      <c r="C50" s="125" t="s">
        <v>25</v>
      </c>
      <c r="D50" s="126" t="str">
        <f>IF(Overview!$C$15="","",Overview!$C$15)</f>
        <v>2019-20</v>
      </c>
      <c r="E50" s="55"/>
      <c r="F50" s="127">
        <f>IFERROR(VLOOKUP(Overview!$C$15,'GHG Emission Factors'!$B:$DJ,31,0),"")</f>
        <v>8.931E-2</v>
      </c>
      <c r="G50" s="128" t="str">
        <f t="shared" si="1"/>
        <v>Enter Consumption Figure</v>
      </c>
    </row>
    <row r="51" spans="2:7" x14ac:dyDescent="0.2">
      <c r="B51" s="124" t="s">
        <v>543</v>
      </c>
      <c r="C51" s="125" t="s">
        <v>25</v>
      </c>
      <c r="D51" s="126" t="str">
        <f>IF(Overview!$C$15="","",Overview!$C$15)</f>
        <v>2019-20</v>
      </c>
      <c r="E51" s="55"/>
      <c r="F51" s="127">
        <f>IFERROR(VLOOKUP(Overview!$C$15,'GHG Emission Factors'!$B:$DJ,32,0),"")</f>
        <v>0.28502</v>
      </c>
      <c r="G51" s="128" t="str">
        <f t="shared" si="1"/>
        <v>Enter Consumption Figure</v>
      </c>
    </row>
    <row r="52" spans="2:7" x14ac:dyDescent="0.2">
      <c r="B52" s="124" t="s">
        <v>537</v>
      </c>
      <c r="C52" s="18" t="s">
        <v>524</v>
      </c>
      <c r="D52" s="126" t="str">
        <f>IF(Overview!$C$15="","",Overview!$C$15)</f>
        <v>2019-20</v>
      </c>
      <c r="E52" s="55"/>
      <c r="F52" s="127">
        <f>IF(C52="Miles",VLOOKUP(Overview!$C$15,'GHG Emission Factors'!$B:$DJ,33,0),VLOOKUP(Overview!$C$15,'GHG Emission Factors'!$B:$DJ,41,0))</f>
        <v>2.5941100000000001</v>
      </c>
      <c r="G52" s="128" t="str">
        <f t="shared" si="1"/>
        <v>Enter Consumption Figure</v>
      </c>
    </row>
    <row r="53" spans="2:7" x14ac:dyDescent="0.2">
      <c r="B53" s="124" t="s">
        <v>528</v>
      </c>
      <c r="C53" s="18" t="s">
        <v>524</v>
      </c>
      <c r="D53" s="126" t="str">
        <f>IF(Overview!$C$15="","",Overview!$C$15)</f>
        <v>2019-20</v>
      </c>
      <c r="E53" s="55"/>
      <c r="F53" s="127">
        <f>IF(C53="Miles",VLOOKUP(Overview!$C$15,'GHG Emission Factors'!$B:$DJ,34,0),VLOOKUP(Overview!$C$15,'GHG Emission Factors'!$B:$DJ,41,0))</f>
        <v>2.5941100000000001</v>
      </c>
      <c r="G53" s="128" t="str">
        <f t="shared" si="1"/>
        <v>Enter Consumption Figure</v>
      </c>
    </row>
    <row r="54" spans="2:7" x14ac:dyDescent="0.2">
      <c r="B54" s="124" t="s">
        <v>529</v>
      </c>
      <c r="C54" s="18" t="s">
        <v>524</v>
      </c>
      <c r="D54" s="126" t="str">
        <f>IF(Overview!$C$15="","",Overview!$C$15)</f>
        <v>2019-20</v>
      </c>
      <c r="E54" s="55"/>
      <c r="F54" s="127">
        <f>IF(C54="Miles",VLOOKUP(Overview!$C$15,'GHG Emission Factors'!$B:$DJ,35,0),VLOOKUP(Overview!$C$15,'GHG Emission Factors'!$B:$DJ,41,0))</f>
        <v>2.5941100000000001</v>
      </c>
      <c r="G54" s="128" t="str">
        <f t="shared" si="1"/>
        <v>Enter Consumption Figure</v>
      </c>
    </row>
    <row r="55" spans="2:7" x14ac:dyDescent="0.2">
      <c r="B55" s="124" t="s">
        <v>534</v>
      </c>
      <c r="C55" s="18" t="s">
        <v>524</v>
      </c>
      <c r="D55" s="126" t="str">
        <f>IF(Overview!$C$15="","",Overview!$C$15)</f>
        <v>2019-20</v>
      </c>
      <c r="E55" s="55"/>
      <c r="F55" s="127">
        <f>IF(C55="Miles",VLOOKUP(Overview!$C$15,'GHG Emission Factors'!$B:$DJ,36,0),VLOOKUP(Overview!$C$15,'GHG Emission Factors'!$B:$DJ,41,0))</f>
        <v>2.5941100000000001</v>
      </c>
      <c r="G55" s="128" t="str">
        <f t="shared" si="1"/>
        <v>Enter Consumption Figure</v>
      </c>
    </row>
    <row r="56" spans="2:7" x14ac:dyDescent="0.2">
      <c r="B56" s="124" t="s">
        <v>530</v>
      </c>
      <c r="C56" s="18" t="s">
        <v>524</v>
      </c>
      <c r="D56" s="126" t="str">
        <f>IF(Overview!$C$15="","",Overview!$C$15)</f>
        <v>2019-20</v>
      </c>
      <c r="E56" s="55"/>
      <c r="F56" s="127">
        <f>IF(C56="Miles",VLOOKUP(Overview!$C$15,'GHG Emission Factors'!$B:$DJ,37,0),VLOOKUP(Overview!$C$15,'GHG Emission Factors'!$B:$DJ,41,0))</f>
        <v>2.5941100000000001</v>
      </c>
      <c r="G56" s="128" t="str">
        <f t="shared" si="1"/>
        <v>Enter Consumption Figure</v>
      </c>
    </row>
    <row r="57" spans="2:7" x14ac:dyDescent="0.2">
      <c r="B57" s="124" t="s">
        <v>531</v>
      </c>
      <c r="C57" s="18" t="s">
        <v>524</v>
      </c>
      <c r="D57" s="126" t="str">
        <f>IF(Overview!$C$15="","",Overview!$C$15)</f>
        <v>2019-20</v>
      </c>
      <c r="E57" s="55"/>
      <c r="F57" s="127">
        <f>IF(C57="Miles",VLOOKUP(Overview!$C$15,'GHG Emission Factors'!$B:$DJ,38,0),VLOOKUP(Overview!$C$15,'GHG Emission Factors'!$B:$DJ,41,0))</f>
        <v>2.5941100000000001</v>
      </c>
      <c r="G57" s="128" t="str">
        <f t="shared" si="1"/>
        <v>Enter Consumption Figure</v>
      </c>
    </row>
    <row r="58" spans="2:7" x14ac:dyDescent="0.2">
      <c r="B58" s="124" t="s">
        <v>533</v>
      </c>
      <c r="C58" s="18" t="s">
        <v>524</v>
      </c>
      <c r="D58" s="126" t="str">
        <f>IF(Overview!$C$15="","",Overview!$C$15)</f>
        <v>2019-20</v>
      </c>
      <c r="E58" s="55"/>
      <c r="F58" s="127">
        <f>IF(C58="Miles",VLOOKUP(Overview!$C$15,'GHG Emission Factors'!$B:$DJ,39,0),VLOOKUP(Overview!$C$15,'GHG Emission Factors'!$B:$DJ,41,0))</f>
        <v>2.5941100000000001</v>
      </c>
      <c r="G58" s="128" t="str">
        <f t="shared" si="1"/>
        <v>Enter Consumption Figure</v>
      </c>
    </row>
    <row r="59" spans="2:7" x14ac:dyDescent="0.2">
      <c r="B59" s="124" t="s">
        <v>532</v>
      </c>
      <c r="C59" s="18" t="s">
        <v>524</v>
      </c>
      <c r="D59" s="126" t="str">
        <f>IF(Overview!$C$15="","",Overview!$C$15)</f>
        <v>2019-20</v>
      </c>
      <c r="E59" s="55"/>
      <c r="F59" s="127">
        <f>IF(C59="Miles",VLOOKUP(Overview!$C$15,'GHG Emission Factors'!$B:$DJ,40,0),VLOOKUP(Overview!$C$15,'GHG Emission Factors'!$B:$DJ,41,0))</f>
        <v>2.5941100000000001</v>
      </c>
      <c r="G59" s="128" t="str">
        <f t="shared" si="1"/>
        <v>Enter Consumption Figure</v>
      </c>
    </row>
    <row r="60" spans="2:7" x14ac:dyDescent="0.2">
      <c r="B60" s="124" t="s">
        <v>536</v>
      </c>
      <c r="C60" s="125" t="s">
        <v>524</v>
      </c>
      <c r="D60" s="126" t="str">
        <f>IF(Overview!$C$15="","",Overview!$C$15)</f>
        <v>2019-20</v>
      </c>
      <c r="E60" s="55"/>
      <c r="F60" s="127">
        <f>IFERROR(VLOOKUP(Overview!$C$15,'GHG Emission Factors'!$B:$DJ,41,0),"")</f>
        <v>2.5941100000000001</v>
      </c>
      <c r="G60" s="128" t="str">
        <f t="shared" si="1"/>
        <v>Enter Consumption Figure</v>
      </c>
    </row>
    <row r="61" spans="2:7" x14ac:dyDescent="0.2">
      <c r="B61" s="124" t="s">
        <v>535</v>
      </c>
      <c r="C61" s="125" t="s">
        <v>524</v>
      </c>
      <c r="D61" s="126" t="str">
        <f>IF(Overview!$C$15="","",Overview!$C$15)</f>
        <v>2019-20</v>
      </c>
      <c r="E61" s="55"/>
      <c r="F61" s="127">
        <f>IFERROR(VLOOKUP(Overview!$C$15,'GHG Emission Factors'!$B:$DJ,42,0),"")</f>
        <v>2.2090399999999999</v>
      </c>
      <c r="G61" s="128" t="str">
        <f t="shared" si="1"/>
        <v>Enter Consumption Figure</v>
      </c>
    </row>
    <row r="62" spans="2:7" x14ac:dyDescent="0.2">
      <c r="B62" s="119"/>
      <c r="C62" s="129"/>
      <c r="D62" s="129"/>
      <c r="E62" s="129"/>
      <c r="F62" s="129"/>
      <c r="G62" s="129"/>
    </row>
    <row r="63" spans="2:7" x14ac:dyDescent="0.2">
      <c r="B63" s="120" t="s">
        <v>540</v>
      </c>
      <c r="C63" s="129"/>
      <c r="D63" s="129"/>
      <c r="E63" s="129"/>
      <c r="F63" s="129"/>
      <c r="G63" s="129"/>
    </row>
    <row r="64" spans="2:7" x14ac:dyDescent="0.2">
      <c r="B64" s="119"/>
      <c r="C64" s="129"/>
      <c r="D64" s="129"/>
      <c r="E64" s="129"/>
      <c r="F64" s="129"/>
      <c r="G64" s="129"/>
    </row>
    <row r="65" spans="2:10" ht="45" x14ac:dyDescent="0.2">
      <c r="B65" s="122" t="s">
        <v>526</v>
      </c>
      <c r="C65" s="121" t="s">
        <v>455</v>
      </c>
      <c r="D65" s="121" t="s">
        <v>59</v>
      </c>
      <c r="E65" s="121" t="s">
        <v>60</v>
      </c>
      <c r="F65" s="122" t="s">
        <v>61</v>
      </c>
      <c r="G65" s="122" t="s">
        <v>576</v>
      </c>
    </row>
    <row r="66" spans="2:10" x14ac:dyDescent="0.2">
      <c r="B66" s="124" t="s">
        <v>538</v>
      </c>
      <c r="C66" s="125" t="s">
        <v>26</v>
      </c>
      <c r="D66" s="126" t="str">
        <f>IF(Overview!$C$15="","",Overview!$C$15)</f>
        <v>2019-20</v>
      </c>
      <c r="E66" s="176">
        <f>'Scope 2'!$E$18+'Scope 2'!$E$19</f>
        <v>30137375.195700001</v>
      </c>
      <c r="F66" s="127">
        <f>IFERROR(VLOOKUP(Overview!$C$15,'GHG Emission Factors'!$B:$DJ,69,0),"")</f>
        <v>2.1700000000000001E-2</v>
      </c>
      <c r="G66" s="143">
        <f t="shared" ref="G66" si="2">IF(E66="","Enter Consumption Figure",(E66*F66)/1000)</f>
        <v>653.98104174669004</v>
      </c>
    </row>
    <row r="67" spans="2:10" x14ac:dyDescent="0.2">
      <c r="B67" s="124" t="s">
        <v>507</v>
      </c>
      <c r="C67" s="125" t="s">
        <v>25</v>
      </c>
      <c r="D67" s="126" t="str">
        <f>IF(Overview!$C$15="","",Overview!$C$15)</f>
        <v>2019-20</v>
      </c>
      <c r="E67" s="176">
        <f>$E$30+'Scope 1'!$E$56+$E$50</f>
        <v>0</v>
      </c>
      <c r="F67" s="127">
        <f>IFERROR(VLOOKUP(Overview!$C$15,'GHG Emission Factors'!$B:$DJ,70,0),"")</f>
        <v>7.5799999999999999E-3</v>
      </c>
      <c r="G67" s="143">
        <f t="shared" ref="G67" si="3">IF(E67="","Enter Consumption Figure",(E67*F67)/1000)</f>
        <v>0</v>
      </c>
    </row>
    <row r="68" spans="2:10" x14ac:dyDescent="0.2">
      <c r="B68" s="72"/>
      <c r="C68" s="72"/>
      <c r="D68" s="72"/>
      <c r="E68" s="72"/>
      <c r="F68" s="72"/>
      <c r="G68" s="72"/>
    </row>
    <row r="69" spans="2:10" x14ac:dyDescent="0.2">
      <c r="B69" s="120" t="s">
        <v>23</v>
      </c>
      <c r="C69" s="129"/>
      <c r="D69" s="129"/>
      <c r="E69" s="129"/>
      <c r="F69" s="129"/>
      <c r="G69" s="129"/>
    </row>
    <row r="70" spans="2:10" x14ac:dyDescent="0.2">
      <c r="B70" s="119"/>
      <c r="C70" s="129"/>
      <c r="D70" s="129"/>
      <c r="E70" s="129"/>
      <c r="F70" s="129"/>
      <c r="G70" s="129"/>
    </row>
    <row r="71" spans="2:10" ht="31.5" x14ac:dyDescent="0.2">
      <c r="B71" s="121" t="s">
        <v>58</v>
      </c>
      <c r="C71" s="121" t="s">
        <v>455</v>
      </c>
      <c r="D71" s="121" t="s">
        <v>59</v>
      </c>
      <c r="E71" s="121" t="s">
        <v>60</v>
      </c>
      <c r="F71" s="122" t="s">
        <v>61</v>
      </c>
      <c r="G71" s="122" t="s">
        <v>576</v>
      </c>
    </row>
    <row r="72" spans="2:10" x14ac:dyDescent="0.2">
      <c r="B72" s="124" t="s">
        <v>29</v>
      </c>
      <c r="C72" s="125" t="s">
        <v>30</v>
      </c>
      <c r="D72" s="126" t="str">
        <f>IF(Overview!$C$15="","",Overview!$C$15)</f>
        <v>2019-20</v>
      </c>
      <c r="E72" s="55">
        <v>118767</v>
      </c>
      <c r="F72" s="127">
        <f>IFERROR(VLOOKUP(Overview!$C$15,'GHG Emission Factors'!$B:$DJ,71,0),"")</f>
        <v>0.34399999999999997</v>
      </c>
      <c r="G72" s="128">
        <f t="shared" ref="G72:G73" si="4">IF(E72="","Enter Consumption Figure",(E72*F72)/1000)</f>
        <v>40.855847999999995</v>
      </c>
    </row>
    <row r="73" spans="2:10" x14ac:dyDescent="0.2">
      <c r="B73" s="124" t="s">
        <v>31</v>
      </c>
      <c r="C73" s="125" t="s">
        <v>30</v>
      </c>
      <c r="D73" s="126" t="str">
        <f>IF(Overview!$C$15="","",Overview!$C$15)</f>
        <v>2019-20</v>
      </c>
      <c r="E73" s="55">
        <v>109189.45</v>
      </c>
      <c r="F73" s="127">
        <f>IFERROR(VLOOKUP(Overview!$C$15,'GHG Emission Factors'!$B:$DJ,72,0),"")</f>
        <v>0.70799999999999996</v>
      </c>
      <c r="G73" s="128">
        <f t="shared" si="4"/>
        <v>77.306130599999989</v>
      </c>
    </row>
    <row r="74" spans="2:10" x14ac:dyDescent="0.2">
      <c r="B74" s="138"/>
      <c r="C74" s="154"/>
      <c r="D74" s="154"/>
      <c r="E74" s="154"/>
      <c r="F74" s="154"/>
      <c r="G74" s="154"/>
      <c r="H74" s="154"/>
      <c r="I74" s="154"/>
      <c r="J74" s="154"/>
    </row>
    <row r="75" spans="2:10" x14ac:dyDescent="0.2">
      <c r="B75" s="138" t="s">
        <v>634</v>
      </c>
      <c r="C75" s="154"/>
      <c r="D75" s="154"/>
      <c r="E75" s="154"/>
      <c r="F75" s="154"/>
      <c r="G75" s="154"/>
      <c r="H75" s="154"/>
      <c r="I75" s="154"/>
      <c r="J75" s="154"/>
    </row>
    <row r="76" spans="2:10" x14ac:dyDescent="0.2">
      <c r="B76" s="138"/>
      <c r="C76" s="154"/>
      <c r="D76" s="154"/>
      <c r="E76" s="154"/>
      <c r="F76" s="154"/>
      <c r="G76" s="154"/>
      <c r="H76" s="154"/>
      <c r="I76" s="154"/>
      <c r="J76" s="154"/>
    </row>
    <row r="77" spans="2:10" ht="31.5" x14ac:dyDescent="0.2">
      <c r="B77" s="16" t="s">
        <v>58</v>
      </c>
      <c r="C77" s="16" t="s">
        <v>455</v>
      </c>
      <c r="D77" s="16" t="s">
        <v>657</v>
      </c>
      <c r="E77" s="16" t="s">
        <v>59</v>
      </c>
      <c r="F77" s="16" t="s">
        <v>60</v>
      </c>
      <c r="G77" s="148" t="s">
        <v>61</v>
      </c>
      <c r="H77" s="148" t="s">
        <v>576</v>
      </c>
      <c r="I77" s="154"/>
      <c r="J77" s="154"/>
    </row>
    <row r="78" spans="2:10" x14ac:dyDescent="0.2">
      <c r="B78" s="25" t="s">
        <v>635</v>
      </c>
      <c r="C78" s="150" t="s">
        <v>636</v>
      </c>
      <c r="D78" s="125" t="s">
        <v>654</v>
      </c>
      <c r="E78" s="151" t="str">
        <f>IF(Overview!$C$15="","",Overview!$C$15)</f>
        <v>2019-20</v>
      </c>
      <c r="F78" s="55"/>
      <c r="G78" s="127">
        <f>IFERROR(VLOOKUP(Overview!$C$15,'GHG Emission Factors'!$B:$DJ,73,0),"")</f>
        <v>4060.1635999999999</v>
      </c>
      <c r="H78" s="153" t="str">
        <f t="shared" ref="H78:H83" si="5">IF(F78="","Enter Consumption Figure",(F78*G78)/1000)</f>
        <v>Enter Consumption Figure</v>
      </c>
      <c r="I78" s="154"/>
      <c r="J78" s="154"/>
    </row>
    <row r="79" spans="2:10" x14ac:dyDescent="0.2">
      <c r="B79" s="25" t="s">
        <v>739</v>
      </c>
      <c r="C79" s="150" t="s">
        <v>636</v>
      </c>
      <c r="D79" s="125" t="s">
        <v>654</v>
      </c>
      <c r="E79" s="151" t="str">
        <f>IF(Overview!$C$15="","",Overview!$C$15)</f>
        <v>2019-20</v>
      </c>
      <c r="F79" s="55"/>
      <c r="G79" s="127" t="str">
        <f>IFERROR(VLOOKUP(Overview!$C$15,'GHG Emission Factors'!$B:$DJ,74,0),"")</f>
        <v>Unavailable</v>
      </c>
      <c r="H79" s="153" t="str">
        <f t="shared" si="5"/>
        <v>Enter Consumption Figure</v>
      </c>
      <c r="I79" s="154"/>
      <c r="J79" s="154"/>
    </row>
    <row r="80" spans="2:10" x14ac:dyDescent="0.2">
      <c r="B80" s="25" t="s">
        <v>638</v>
      </c>
      <c r="C80" s="150" t="s">
        <v>636</v>
      </c>
      <c r="D80" s="18" t="s">
        <v>462</v>
      </c>
      <c r="E80" s="151" t="str">
        <f>IF(Overview!$C$15="","",Overview!$C$15)</f>
        <v>2019-20</v>
      </c>
      <c r="F80" s="55"/>
      <c r="G80" s="127">
        <f>IF(D80="Primary Material Production",VLOOKUP(Overview!$C$15,'GHG Emission Factors'!$B:$DJ,75,0),IF(D80="Open-Loop Source",VLOOKUP(Overview!$C$15,'GHG Emission Factors'!$B:$DJ,76,0),IF(D80="Closed-loop Source",VLOOKUP(Overview!$C$15,'GHG Emission Factors'!$B:$DJ,77,0),0)))</f>
        <v>0</v>
      </c>
      <c r="H80" s="153" t="str">
        <f t="shared" si="5"/>
        <v>Enter Consumption Figure</v>
      </c>
      <c r="I80" s="154"/>
      <c r="J80" s="154"/>
    </row>
    <row r="81" spans="2:10" x14ac:dyDescent="0.2">
      <c r="B81" s="25" t="s">
        <v>639</v>
      </c>
      <c r="C81" s="150" t="s">
        <v>636</v>
      </c>
      <c r="D81" s="18" t="s">
        <v>462</v>
      </c>
      <c r="E81" s="151" t="str">
        <f>IF(Overview!$C$15="","",Overview!$C$15)</f>
        <v>2019-20</v>
      </c>
      <c r="F81" s="55"/>
      <c r="G81" s="127">
        <f>IF(D81="Primary Material Production",VLOOKUP(Overview!$C$15,'GHG Emission Factors'!$B:$DJ,78,0),IF(D81="Open-Loop Source",VLOOKUP(Overview!$C$15,'GHG Emission Factors'!$B:$DJ,79,0),IF(D81="Closed-loop Source",VLOOKUP(Overview!$C$15,'GHG Emission Factors'!$B:$DJ,80,0),0)))</f>
        <v>0</v>
      </c>
      <c r="H81" s="153" t="str">
        <f t="shared" si="5"/>
        <v>Enter Consumption Figure</v>
      </c>
      <c r="I81" s="154"/>
      <c r="J81" s="154"/>
    </row>
    <row r="82" spans="2:10" x14ac:dyDescent="0.2">
      <c r="B82" s="25" t="s">
        <v>640</v>
      </c>
      <c r="C82" s="150" t="s">
        <v>636</v>
      </c>
      <c r="D82" s="18" t="s">
        <v>462</v>
      </c>
      <c r="E82" s="151" t="str">
        <f>IF(Overview!$C$15="","",Overview!$C$15)</f>
        <v>2019-20</v>
      </c>
      <c r="F82" s="55"/>
      <c r="G82" s="127">
        <f>IF(D82="Primary Material Production",VLOOKUP(Overview!$C$15,'GHG Emission Factors'!$B:$DJ,81,0),IF(D82="Open-Loop Source",VLOOKUP(Overview!$C$15,'GHG Emission Factors'!$B:$DJ,82,0),IF(D82="Closed-loop Source",VLOOKUP(Overview!$C$15,'GHG Emission Factors'!$B:$DJ,83,0),0)))</f>
        <v>0</v>
      </c>
      <c r="H82" s="153" t="str">
        <f t="shared" si="5"/>
        <v>Enter Consumption Figure</v>
      </c>
      <c r="I82" s="154"/>
      <c r="J82" s="154"/>
    </row>
    <row r="83" spans="2:10" x14ac:dyDescent="0.2">
      <c r="B83" s="25" t="s">
        <v>641</v>
      </c>
      <c r="C83" s="150" t="s">
        <v>636</v>
      </c>
      <c r="D83" s="18" t="s">
        <v>462</v>
      </c>
      <c r="E83" s="151" t="str">
        <f>IF(Overview!$C$15="","",Overview!$C$15)</f>
        <v>2019-20</v>
      </c>
      <c r="F83" s="55"/>
      <c r="G83" s="127">
        <f>IF(D83="Primary Material Production",VLOOKUP(Overview!$C$15,'GHG Emission Factors'!$B:$DJ,84,0),IF(D83="Closed-loop Source",VLOOKUP(Overview!$C$15,'GHG Emission Factors'!$B:$DJ,85,0),0))</f>
        <v>0</v>
      </c>
      <c r="H83" s="153" t="str">
        <f t="shared" si="5"/>
        <v>Enter Consumption Figure</v>
      </c>
      <c r="I83" s="154"/>
      <c r="J83" s="154"/>
    </row>
    <row r="84" spans="2:10" x14ac:dyDescent="0.2">
      <c r="B84" s="55" t="s">
        <v>647</v>
      </c>
      <c r="C84" s="55"/>
      <c r="D84" s="55"/>
      <c r="E84" s="151" t="str">
        <f>IF(Overview!$C$15="","",Overview!$C$15)</f>
        <v>2019-20</v>
      </c>
      <c r="F84" s="55"/>
      <c r="G84" s="55"/>
      <c r="H84" s="55"/>
      <c r="I84" s="154"/>
      <c r="J84" s="154"/>
    </row>
    <row r="85" spans="2:10" x14ac:dyDescent="0.2">
      <c r="B85" s="55" t="s">
        <v>647</v>
      </c>
      <c r="C85" s="55"/>
      <c r="D85" s="55"/>
      <c r="E85" s="151" t="str">
        <f>IF(Overview!$C$15="","",Overview!$C$15)</f>
        <v>2019-20</v>
      </c>
      <c r="F85" s="55"/>
      <c r="G85" s="55"/>
      <c r="H85" s="55"/>
      <c r="I85" s="154"/>
      <c r="J85" s="154"/>
    </row>
    <row r="86" spans="2:10" x14ac:dyDescent="0.2">
      <c r="B86" s="55" t="s">
        <v>647</v>
      </c>
      <c r="C86" s="55"/>
      <c r="D86" s="55"/>
      <c r="E86" s="151" t="str">
        <f>IF(Overview!$C$15="","",Overview!$C$15)</f>
        <v>2019-20</v>
      </c>
      <c r="F86" s="55"/>
      <c r="G86" s="55"/>
      <c r="H86" s="55"/>
      <c r="I86" s="154"/>
      <c r="J86" s="154"/>
    </row>
    <row r="87" spans="2:10" x14ac:dyDescent="0.2">
      <c r="B87" s="55" t="s">
        <v>647</v>
      </c>
      <c r="C87" s="55"/>
      <c r="D87" s="55"/>
      <c r="E87" s="151" t="str">
        <f>IF(Overview!$C$15="","",Overview!$C$15)</f>
        <v>2019-20</v>
      </c>
      <c r="F87" s="55"/>
      <c r="G87" s="55"/>
      <c r="H87" s="55"/>
      <c r="I87" s="154"/>
      <c r="J87" s="154"/>
    </row>
    <row r="88" spans="2:10" x14ac:dyDescent="0.2">
      <c r="B88" s="138"/>
      <c r="C88" s="154"/>
      <c r="D88" s="154"/>
      <c r="E88" s="154"/>
      <c r="F88" s="154"/>
      <c r="G88" s="154"/>
      <c r="H88" s="154"/>
      <c r="I88" s="154"/>
      <c r="J88" s="154"/>
    </row>
    <row r="89" spans="2:10" x14ac:dyDescent="0.2">
      <c r="B89" s="138" t="s">
        <v>652</v>
      </c>
      <c r="C89" s="154"/>
      <c r="D89" s="154"/>
      <c r="E89" s="154"/>
      <c r="F89" s="154"/>
      <c r="G89" s="154"/>
      <c r="H89" s="154"/>
      <c r="I89" s="154"/>
      <c r="J89" s="154"/>
    </row>
    <row r="90" spans="2:10" x14ac:dyDescent="0.2">
      <c r="B90" s="138"/>
      <c r="C90" s="154"/>
      <c r="D90" s="154"/>
      <c r="E90" s="154"/>
      <c r="F90" s="154"/>
      <c r="G90" s="154"/>
      <c r="H90" s="154"/>
      <c r="I90" s="154"/>
      <c r="J90" s="154"/>
    </row>
    <row r="91" spans="2:10" ht="31.5" x14ac:dyDescent="0.2">
      <c r="B91" s="16" t="s">
        <v>58</v>
      </c>
      <c r="C91" s="16" t="s">
        <v>455</v>
      </c>
      <c r="D91" s="16" t="s">
        <v>653</v>
      </c>
      <c r="E91" s="16" t="s">
        <v>59</v>
      </c>
      <c r="F91" s="16" t="s">
        <v>60</v>
      </c>
      <c r="G91" s="148" t="s">
        <v>61</v>
      </c>
      <c r="H91" s="148" t="s">
        <v>576</v>
      </c>
      <c r="I91" s="154"/>
      <c r="J91" s="154"/>
    </row>
    <row r="92" spans="2:10" x14ac:dyDescent="0.2">
      <c r="B92" s="185" t="s">
        <v>642</v>
      </c>
      <c r="C92" s="150" t="s">
        <v>636</v>
      </c>
      <c r="D92" s="18" t="s">
        <v>462</v>
      </c>
      <c r="E92" s="151" t="str">
        <f>IF(Overview!$C$15="","",Overview!$C$15)</f>
        <v>2019-20</v>
      </c>
      <c r="F92" s="55"/>
      <c r="G92" s="127">
        <f>IF(D92="Open-loop",VLOOKUP(Overview!$C$15,'GHG Emission Factors'!$B:$DJ,86,0),IF(D92="Closed-loop",VLOOKUP(Overview!$C$15,'GHG Emission Factors'!$B:$DJ,87,0),IF(D92="Combustion",VLOOKUP(Overview!$C$15,'GHG Emission Factors'!$B:$DJ,88,0),IF(D92="Landfill",VLOOKUP(Overview!$C$15,'GHG Emission Factors'!$B:$DJ,89,0),0))))</f>
        <v>0</v>
      </c>
      <c r="H92" s="153" t="str">
        <f t="shared" ref="H92:H100" si="6">IF(F92="","Enter Consumption Figure",(F92*G92)/1000)</f>
        <v>Enter Consumption Figure</v>
      </c>
      <c r="I92" s="154"/>
      <c r="J92" s="154"/>
    </row>
    <row r="93" spans="2:10" x14ac:dyDescent="0.2">
      <c r="B93" s="185" t="s">
        <v>643</v>
      </c>
      <c r="C93" s="150" t="s">
        <v>636</v>
      </c>
      <c r="D93" s="18" t="s">
        <v>462</v>
      </c>
      <c r="E93" s="151" t="str">
        <f>IF(Overview!$C$15="","",Overview!$C$15)</f>
        <v>2019-20</v>
      </c>
      <c r="F93" s="55"/>
      <c r="G93" s="127">
        <f>IF(D93="Combustion",VLOOKUP(Overview!$C$15,'GHG Emission Factors'!$B:$DJ,90,0),IF(D93="Composting",VLOOKUP(Overview!$C$15,'GHG Emission Factors'!$B:$DJ,91,0),IF(D93="Landfill",VLOOKUP(Overview!$C$15,'GHG Emission Factors'!$B:$DJ,92,0),IF(D93="Anaerobic digestion",VLOOKUP(Overview!$C$15,'GHG Emission Factors'!$B:$DJ,93,0),0))))</f>
        <v>0</v>
      </c>
      <c r="H93" s="153" t="str">
        <f t="shared" si="6"/>
        <v>Enter Consumption Figure</v>
      </c>
      <c r="I93" s="154"/>
      <c r="J93" s="154"/>
    </row>
    <row r="94" spans="2:10" x14ac:dyDescent="0.2">
      <c r="B94" s="185" t="s">
        <v>644</v>
      </c>
      <c r="C94" s="150" t="s">
        <v>636</v>
      </c>
      <c r="D94" s="18" t="s">
        <v>462</v>
      </c>
      <c r="E94" s="151" t="str">
        <f>IF(Overview!$C$15="","",Overview!$C$15)</f>
        <v>2019-20</v>
      </c>
      <c r="F94" s="55"/>
      <c r="G94" s="127">
        <f>IF(D94="Closed-loop",VLOOKUP(Overview!$C$15,'GHG Emission Factors'!$B:$DJ,94,0),IF(D94="Combustion",VLOOKUP(Overview!$C$15,'GHG Emission Factors'!$B:$DJ,95,0),IF(D94="composting",VLOOKUP(Overview!$C$15,'GHG Emission Factors'!$B:$DJ,96,0),IF(D94="landfill",VLOOKUP(Overview!$C$15,'GHG Emission Factors'!$B:$DJ,97,0),IF(D94="Anaerobic digestion",VLOOKUP(Overview!$C$15,'GHG Emission Factors'!$B:$DJ,98,0),0)))))</f>
        <v>0</v>
      </c>
      <c r="H94" s="153" t="str">
        <f t="shared" si="6"/>
        <v>Enter Consumption Figure</v>
      </c>
      <c r="I94" s="154"/>
      <c r="J94" s="154"/>
    </row>
    <row r="95" spans="2:10" x14ac:dyDescent="0.2">
      <c r="B95" s="185" t="s">
        <v>645</v>
      </c>
      <c r="C95" s="150" t="s">
        <v>636</v>
      </c>
      <c r="D95" s="18" t="s">
        <v>462</v>
      </c>
      <c r="E95" s="151" t="str">
        <f>IF(Overview!$C$15="","",Overview!$C$15)</f>
        <v>2019-20</v>
      </c>
      <c r="F95" s="55"/>
      <c r="G95" s="127">
        <f>IF(D95="Open-loop",VLOOKUP(Overview!$C$15,'GHG Emission Factors'!$B:$DJ,99,0),IF(D95="Combustion",VLOOKUP(Overview!$C$15,'GHG Emission Factors'!$B:$DJ,100,0),IF(D95="Landfill",VLOOKUP(Overview!$C$15,'GHG Emission Factors'!$B:$DJ,101,0),0)))</f>
        <v>0</v>
      </c>
      <c r="H95" s="153" t="str">
        <f t="shared" si="6"/>
        <v>Enter Consumption Figure</v>
      </c>
      <c r="I95" s="154"/>
      <c r="J95" s="116"/>
    </row>
    <row r="96" spans="2:10" x14ac:dyDescent="0.2">
      <c r="B96" s="185" t="s">
        <v>646</v>
      </c>
      <c r="C96" s="150" t="s">
        <v>636</v>
      </c>
      <c r="D96" s="18" t="s">
        <v>462</v>
      </c>
      <c r="E96" s="151" t="str">
        <f>IF(Overview!$C$15="","",Overview!$C$15)</f>
        <v>2019-20</v>
      </c>
      <c r="F96" s="55"/>
      <c r="G96" s="127">
        <f>IF(D96="Open-loop",VLOOKUP(Overview!$C$15,'GHG Emission Factors'!$B:$DJ,102,0),IF(D96="Closed-loop",VLOOKUP(Overview!$C$15,'GHG Emission Factors'!$B:$DJ,103,0),IF(D96="Combustion",VLOOKUP(Overview!$C$15,'GHG Emission Factors'!$B:$DJ,104,0),IF(D96="Landfill",VLOOKUP(Overview!$C$15,'GHG Emission Factors'!$B:$DJ,105,0),0))))</f>
        <v>0</v>
      </c>
      <c r="H96" s="153" t="str">
        <f t="shared" si="6"/>
        <v>Enter Consumption Figure</v>
      </c>
      <c r="I96" s="154"/>
      <c r="J96" s="116"/>
    </row>
    <row r="97" spans="2:10" x14ac:dyDescent="0.2">
      <c r="B97" s="185" t="s">
        <v>638</v>
      </c>
      <c r="C97" s="150" t="s">
        <v>636</v>
      </c>
      <c r="D97" s="18" t="s">
        <v>462</v>
      </c>
      <c r="E97" s="151" t="str">
        <f>IF(Overview!$C$15="","",Overview!$C$15)</f>
        <v>2019-20</v>
      </c>
      <c r="F97" s="55"/>
      <c r="G97" s="127">
        <f>IF(D97="Open-loop",VLOOKUP(Overview!$C$15,'GHG Emission Factors'!$B:$DJ,106,0),IF(D97="Closed-loop",VLOOKUP(Overview!$C$15,'GHG Emission Factors'!$B:$DJ,107,0),IF(D97="Combustion",VLOOKUP(Overview!$C$15,'GHG Emission Factors'!$B:$DJ,108,0),IF(D97="Landfill",VLOOKUP(Overview!$C$15,'GHG Emission Factors'!$B:$DJ,109,0),0))))</f>
        <v>0</v>
      </c>
      <c r="H97" s="153" t="str">
        <f t="shared" si="6"/>
        <v>Enter Consumption Figure</v>
      </c>
      <c r="I97" s="154"/>
      <c r="J97" s="154"/>
    </row>
    <row r="98" spans="2:10" x14ac:dyDescent="0.2">
      <c r="B98" s="185" t="s">
        <v>648</v>
      </c>
      <c r="C98" s="150" t="s">
        <v>636</v>
      </c>
      <c r="D98" s="18" t="s">
        <v>462</v>
      </c>
      <c r="E98" s="151" t="str">
        <f>IF(Overview!$C$15="","",Overview!$C$15)</f>
        <v>2019-20</v>
      </c>
      <c r="F98" s="55"/>
      <c r="G98" s="127">
        <f>IF(D98="Closed-loop",VLOOKUP(Overview!$C$15,'GHG Emission Factors'!$B:$DJ,110,0),IF(D98="Combustion",VLOOKUP(Overview!$C$15,'GHG Emission Factors'!$B:$DJ,111,0),IF(D98="Composting",VLOOKUP(Overview!$C$15,'GHG Emission Factors'!$B:$DJ,112,0),IF(D98="Landfill",VLOOKUP(Overview!$C$15,'GHG Emission Factors'!$B:$DJ,113,0),0))))</f>
        <v>0</v>
      </c>
      <c r="H98" s="153" t="str">
        <f t="shared" si="6"/>
        <v>Enter Consumption Figure</v>
      </c>
      <c r="I98" s="154"/>
      <c r="J98" s="154"/>
    </row>
    <row r="99" spans="2:10" x14ac:dyDescent="0.2">
      <c r="B99" s="124" t="s">
        <v>732</v>
      </c>
      <c r="C99" s="125" t="s">
        <v>25</v>
      </c>
      <c r="D99" s="197"/>
      <c r="E99" s="151" t="str">
        <f>IF(Overview!$C$15="","",Overview!$C$15)</f>
        <v>2019-20</v>
      </c>
      <c r="F99" s="55"/>
      <c r="G99" s="127">
        <f>IFERROR(VLOOKUP(Overview!$C$15,'GHG Emission Factors'!$B:$DJ,31,0),"")</f>
        <v>8.931E-2</v>
      </c>
      <c r="H99" s="153" t="str">
        <f t="shared" si="6"/>
        <v>Enter Consumption Figure</v>
      </c>
      <c r="I99" s="154"/>
      <c r="J99" s="154"/>
    </row>
    <row r="100" spans="2:10" x14ac:dyDescent="0.2">
      <c r="B100" s="124" t="s">
        <v>733</v>
      </c>
      <c r="C100" s="125" t="s">
        <v>26</v>
      </c>
      <c r="D100" s="197"/>
      <c r="E100" s="151" t="str">
        <f>IF(Overview!$C$15="","",Overview!$C$15)</f>
        <v>2019-20</v>
      </c>
      <c r="F100" s="55"/>
      <c r="G100" s="127">
        <f>IFERROR(VLOOKUP(Overview!$C$15,'GHG Emission Factors'!$B:$DJ,70,0),"")</f>
        <v>7.5799999999999999E-3</v>
      </c>
      <c r="H100" s="153" t="str">
        <f t="shared" si="6"/>
        <v>Enter Consumption Figure</v>
      </c>
      <c r="I100" s="154"/>
      <c r="J100" s="154"/>
    </row>
    <row r="101" spans="2:10" x14ac:dyDescent="0.2">
      <c r="B101" s="55" t="s">
        <v>647</v>
      </c>
      <c r="C101" s="55"/>
      <c r="D101" s="55"/>
      <c r="E101" s="151" t="str">
        <f>IF(Overview!$C$15="","",Overview!$C$15)</f>
        <v>2019-20</v>
      </c>
      <c r="F101" s="55"/>
      <c r="G101" s="55"/>
      <c r="H101" s="55"/>
      <c r="I101" s="154"/>
      <c r="J101" s="154"/>
    </row>
    <row r="102" spans="2:10" ht="13.15" customHeight="1" x14ac:dyDescent="0.2">
      <c r="B102" s="55" t="s">
        <v>647</v>
      </c>
      <c r="C102" s="55"/>
      <c r="D102" s="55"/>
      <c r="E102" s="151" t="str">
        <f>IF(Overview!$C$15="","",Overview!$C$15)</f>
        <v>2019-20</v>
      </c>
      <c r="F102" s="55"/>
      <c r="G102" s="55"/>
      <c r="H102" s="55"/>
      <c r="I102" s="154"/>
      <c r="J102" s="154"/>
    </row>
    <row r="103" spans="2:10" ht="13.15" customHeight="1" x14ac:dyDescent="0.2">
      <c r="B103" s="55" t="s">
        <v>647</v>
      </c>
      <c r="C103" s="55"/>
      <c r="D103" s="55"/>
      <c r="E103" s="151" t="str">
        <f>IF(Overview!$C$15="","",Overview!$C$15)</f>
        <v>2019-20</v>
      </c>
      <c r="F103" s="55"/>
      <c r="G103" s="55"/>
      <c r="H103" s="55"/>
      <c r="I103" s="154"/>
      <c r="J103" s="154"/>
    </row>
    <row r="104" spans="2:10" ht="13.15" customHeight="1" x14ac:dyDescent="0.2">
      <c r="B104" s="55" t="s">
        <v>647</v>
      </c>
      <c r="C104" s="55"/>
      <c r="D104" s="55"/>
      <c r="E104" s="151" t="str">
        <f>IF(Overview!$C$15="","",Overview!$C$15)</f>
        <v>2019-20</v>
      </c>
      <c r="F104" s="55"/>
      <c r="G104" s="55"/>
      <c r="H104" s="55"/>
      <c r="I104" s="154"/>
      <c r="J104" s="154"/>
    </row>
    <row r="105" spans="2:10" x14ac:dyDescent="0.2">
      <c r="B105" s="154"/>
      <c r="C105" s="154"/>
      <c r="D105" s="154"/>
      <c r="E105" s="154"/>
      <c r="F105" s="154"/>
      <c r="G105" s="154"/>
      <c r="H105" s="154"/>
      <c r="I105" s="154"/>
      <c r="J105" s="154"/>
    </row>
    <row r="106" spans="2:10" ht="15" thickBot="1" x14ac:dyDescent="0.25">
      <c r="B106" s="63"/>
      <c r="C106" s="63"/>
      <c r="D106" s="63"/>
      <c r="E106" s="63"/>
      <c r="F106" s="63"/>
      <c r="G106" s="63"/>
      <c r="H106" s="63"/>
      <c r="I106" s="154"/>
      <c r="J106" s="154"/>
    </row>
    <row r="107" spans="2:10" x14ac:dyDescent="0.2">
      <c r="B107" s="119"/>
      <c r="C107" s="119"/>
      <c r="D107" s="119"/>
      <c r="E107" s="119"/>
      <c r="F107" s="119"/>
      <c r="G107" s="119"/>
      <c r="H107" s="119"/>
    </row>
    <row r="108" spans="2:10" s="60" customFormat="1" ht="15" x14ac:dyDescent="0.2">
      <c r="B108" s="138" t="s">
        <v>570</v>
      </c>
      <c r="C108" s="139"/>
      <c r="D108" s="139"/>
      <c r="E108" s="139"/>
      <c r="F108" s="139"/>
      <c r="G108" s="139"/>
    </row>
    <row r="109" spans="2:10" s="60" customFormat="1" x14ac:dyDescent="0.2">
      <c r="B109" s="272" t="s">
        <v>744</v>
      </c>
      <c r="C109" s="272"/>
      <c r="D109" s="272"/>
      <c r="E109" s="272"/>
      <c r="F109" s="272"/>
      <c r="G109" s="272"/>
    </row>
    <row r="110" spans="2:10" s="60" customFormat="1" x14ac:dyDescent="0.2">
      <c r="B110" s="272"/>
      <c r="C110" s="272"/>
      <c r="D110" s="272"/>
      <c r="E110" s="272"/>
      <c r="F110" s="272"/>
      <c r="G110" s="272"/>
    </row>
    <row r="111" spans="2:10" s="60" customFormat="1" x14ac:dyDescent="0.2">
      <c r="B111" s="272"/>
      <c r="C111" s="272"/>
      <c r="D111" s="272"/>
      <c r="E111" s="272"/>
      <c r="F111" s="272"/>
      <c r="G111" s="272"/>
    </row>
    <row r="112" spans="2:10" s="60" customFormat="1" x14ac:dyDescent="0.2">
      <c r="B112" s="272"/>
      <c r="C112" s="272"/>
      <c r="D112" s="272"/>
      <c r="E112" s="272"/>
      <c r="F112" s="272"/>
      <c r="G112" s="272"/>
    </row>
    <row r="113" spans="2:7" s="60" customFormat="1" x14ac:dyDescent="0.2">
      <c r="B113" s="272"/>
      <c r="C113" s="272"/>
      <c r="D113" s="272"/>
      <c r="E113" s="272"/>
      <c r="F113" s="272"/>
      <c r="G113" s="272"/>
    </row>
    <row r="114" spans="2:7" s="60" customFormat="1" x14ac:dyDescent="0.2">
      <c r="B114" s="272"/>
      <c r="C114" s="272"/>
      <c r="D114" s="272"/>
      <c r="E114" s="272"/>
      <c r="F114" s="272"/>
      <c r="G114" s="272"/>
    </row>
    <row r="115" spans="2:7" s="60" customFormat="1" x14ac:dyDescent="0.2">
      <c r="B115" s="272"/>
      <c r="C115" s="272"/>
      <c r="D115" s="272"/>
      <c r="E115" s="272"/>
      <c r="F115" s="272"/>
      <c r="G115" s="272"/>
    </row>
    <row r="116" spans="2:7" s="60" customFormat="1" x14ac:dyDescent="0.2">
      <c r="B116" s="272"/>
      <c r="C116" s="272"/>
      <c r="D116" s="272"/>
      <c r="E116" s="272"/>
      <c r="F116" s="272"/>
      <c r="G116" s="272"/>
    </row>
    <row r="117" spans="2:7" s="60" customFormat="1" x14ac:dyDescent="0.2">
      <c r="B117" s="272"/>
      <c r="C117" s="272"/>
      <c r="D117" s="272"/>
      <c r="E117" s="272"/>
      <c r="F117" s="272"/>
      <c r="G117" s="272"/>
    </row>
    <row r="118" spans="2:7" s="60" customFormat="1" x14ac:dyDescent="0.2">
      <c r="B118" s="272"/>
      <c r="C118" s="272"/>
      <c r="D118" s="272"/>
      <c r="E118" s="272"/>
      <c r="F118" s="272"/>
      <c r="G118" s="272"/>
    </row>
    <row r="119" spans="2:7" s="60" customFormat="1" x14ac:dyDescent="0.2">
      <c r="B119" s="272"/>
      <c r="C119" s="272"/>
      <c r="D119" s="272"/>
      <c r="E119" s="272"/>
      <c r="F119" s="272"/>
      <c r="G119" s="272"/>
    </row>
    <row r="120" spans="2:7" s="60" customFormat="1" x14ac:dyDescent="0.2">
      <c r="B120" s="272"/>
      <c r="C120" s="272"/>
      <c r="D120" s="272"/>
      <c r="E120" s="272"/>
      <c r="F120" s="272"/>
      <c r="G120" s="272"/>
    </row>
    <row r="121" spans="2:7" s="60" customFormat="1" x14ac:dyDescent="0.2">
      <c r="B121" s="272"/>
      <c r="C121" s="272"/>
      <c r="D121" s="272"/>
      <c r="E121" s="272"/>
      <c r="F121" s="272"/>
      <c r="G121" s="272"/>
    </row>
    <row r="122" spans="2:7" s="60" customFormat="1" x14ac:dyDescent="0.2">
      <c r="B122" s="272"/>
      <c r="C122" s="272"/>
      <c r="D122" s="272"/>
      <c r="E122" s="272"/>
      <c r="F122" s="272"/>
      <c r="G122" s="272"/>
    </row>
    <row r="123" spans="2:7" x14ac:dyDescent="0.2">
      <c r="B123" s="272"/>
      <c r="C123" s="272"/>
      <c r="D123" s="272"/>
      <c r="E123" s="272"/>
      <c r="F123" s="272"/>
      <c r="G123" s="272"/>
    </row>
    <row r="124" spans="2:7" x14ac:dyDescent="0.2">
      <c r="B124" s="272"/>
      <c r="C124" s="272"/>
      <c r="D124" s="272"/>
      <c r="E124" s="272"/>
      <c r="F124" s="272"/>
      <c r="G124" s="272"/>
    </row>
    <row r="125" spans="2:7" x14ac:dyDescent="0.2">
      <c r="B125" s="272"/>
      <c r="C125" s="272"/>
      <c r="D125" s="272"/>
      <c r="E125" s="272"/>
      <c r="F125" s="272"/>
      <c r="G125" s="272"/>
    </row>
    <row r="126" spans="2:7" x14ac:dyDescent="0.2">
      <c r="B126" s="272"/>
      <c r="C126" s="272"/>
      <c r="D126" s="272"/>
      <c r="E126" s="272"/>
      <c r="F126" s="272"/>
      <c r="G126" s="272"/>
    </row>
    <row r="127" spans="2:7" x14ac:dyDescent="0.2">
      <c r="B127" s="272"/>
      <c r="C127" s="272"/>
      <c r="D127" s="272"/>
      <c r="E127" s="272"/>
      <c r="F127" s="272"/>
      <c r="G127" s="272"/>
    </row>
    <row r="128" spans="2:7" x14ac:dyDescent="0.2">
      <c r="B128" s="272"/>
      <c r="C128" s="272"/>
      <c r="D128" s="272"/>
      <c r="E128" s="272"/>
      <c r="F128" s="272"/>
      <c r="G128" s="272"/>
    </row>
    <row r="129" spans="2:7" x14ac:dyDescent="0.2">
      <c r="B129" s="72"/>
      <c r="C129" s="72"/>
      <c r="D129" s="72"/>
      <c r="E129" s="72"/>
      <c r="F129" s="72"/>
      <c r="G129" s="72"/>
    </row>
    <row r="130" spans="2:7" ht="15" x14ac:dyDescent="0.2">
      <c r="B130" s="111" t="s">
        <v>554</v>
      </c>
      <c r="C130" s="112"/>
      <c r="D130" s="112"/>
    </row>
    <row r="131" spans="2:7" x14ac:dyDescent="0.2">
      <c r="B131" s="241" t="s">
        <v>613</v>
      </c>
      <c r="C131" s="241"/>
      <c r="D131" s="241"/>
    </row>
    <row r="136" spans="2:7" x14ac:dyDescent="0.2">
      <c r="B136" s="273" t="s">
        <v>740</v>
      </c>
      <c r="C136" s="273"/>
      <c r="D136" s="273"/>
      <c r="E136" s="273"/>
      <c r="F136" s="273"/>
      <c r="G136" s="273"/>
    </row>
    <row r="137" spans="2:7" x14ac:dyDescent="0.2">
      <c r="B137" s="273"/>
      <c r="C137" s="273"/>
      <c r="D137" s="273"/>
      <c r="E137" s="273"/>
      <c r="F137" s="273"/>
      <c r="G137" s="273"/>
    </row>
  </sheetData>
  <mergeCells count="3">
    <mergeCell ref="B109:G128"/>
    <mergeCell ref="B131:D131"/>
    <mergeCell ref="B136:G137"/>
  </mergeCells>
  <conditionalFormatting sqref="G72:G73">
    <cfRule type="cellIs" dxfId="32" priority="23" operator="equal">
      <formula>"Enter Consumption Figure"</formula>
    </cfRule>
  </conditionalFormatting>
  <conditionalFormatting sqref="G66">
    <cfRule type="cellIs" dxfId="31" priority="22" operator="equal">
      <formula>"Enter Consumption Figure"</formula>
    </cfRule>
  </conditionalFormatting>
  <conditionalFormatting sqref="G67">
    <cfRule type="cellIs" dxfId="30" priority="21" operator="equal">
      <formula>"Enter Consumption Figure"</formula>
    </cfRule>
  </conditionalFormatting>
  <conditionalFormatting sqref="G35:G61">
    <cfRule type="cellIs" dxfId="29" priority="20" operator="equal">
      <formula>"Enter Consumption Figure"</formula>
    </cfRule>
  </conditionalFormatting>
  <conditionalFormatting sqref="G18:G30">
    <cfRule type="cellIs" dxfId="28" priority="19" operator="equal">
      <formula>"Enter Consumption Figure"</formula>
    </cfRule>
  </conditionalFormatting>
  <conditionalFormatting sqref="H78">
    <cfRule type="cellIs" dxfId="27" priority="9" operator="equal">
      <formula>"Enter Consumption Figure"</formula>
    </cfRule>
  </conditionalFormatting>
  <conditionalFormatting sqref="H79">
    <cfRule type="cellIs" dxfId="26" priority="8" operator="equal">
      <formula>"Enter Consumption Figure"</formula>
    </cfRule>
  </conditionalFormatting>
  <conditionalFormatting sqref="H80">
    <cfRule type="cellIs" dxfId="25" priority="7" operator="equal">
      <formula>"Enter Consumption Figure"</formula>
    </cfRule>
  </conditionalFormatting>
  <conditionalFormatting sqref="H81:H83">
    <cfRule type="cellIs" dxfId="24" priority="6" operator="equal">
      <formula>"Enter Consumption Figure"</formula>
    </cfRule>
  </conditionalFormatting>
  <conditionalFormatting sqref="H92">
    <cfRule type="cellIs" dxfId="23" priority="5" operator="equal">
      <formula>"Enter Consumption Figure"</formula>
    </cfRule>
  </conditionalFormatting>
  <conditionalFormatting sqref="H93">
    <cfRule type="cellIs" dxfId="22" priority="4" operator="equal">
      <formula>"Enter Consumption Figure"</formula>
    </cfRule>
  </conditionalFormatting>
  <conditionalFormatting sqref="H94">
    <cfRule type="cellIs" dxfId="21" priority="3" operator="equal">
      <formula>"Enter Consumption Figure"</formula>
    </cfRule>
  </conditionalFormatting>
  <conditionalFormatting sqref="H95">
    <cfRule type="cellIs" dxfId="20" priority="2" operator="equal">
      <formula>"Enter Consumption Figure"</formula>
    </cfRule>
  </conditionalFormatting>
  <conditionalFormatting sqref="H96:H100">
    <cfRule type="cellIs" dxfId="19" priority="1" operator="equal">
      <formula>"Enter Consumption Figure"</formula>
    </cfRule>
  </conditionalFormatting>
  <dataValidations count="3">
    <dataValidation type="custom" allowBlank="1" showInputMessage="1" showErrorMessage="1" errorTitle="Not a Valid Value" error="The data entered is not a valid value, please click the &quot;Retry&quot; button and enter the consumption figure in a number format." sqref="E66:E68 E35:E61 E18:E30 E72:E73 G84:H87 F78:F87 G101:H104 F92:F104" xr:uid="{20AA2189-FE47-4E9A-B660-56BF7EED6103}">
      <formula1>ISNUMBER(E18)</formula1>
    </dataValidation>
    <dataValidation allowBlank="1" showErrorMessage="1" promptTitle="Consumption Units" prompt="Please select whether Fleet data is reported in Miles or Litres" sqref="C50:C51 C60:C61" xr:uid="{6C0FF55D-EA26-4E31-881A-5B2806D491C9}"/>
    <dataValidation allowBlank="1" showInputMessage="1" showErrorMessage="1" errorTitle="Not a Valid Value" error="The data entered is not a valid value, please click the &quot;Retry&quot; button and enter the consumption figure in a number format." sqref="C84:D87 D99:D100 C101:D104" xr:uid="{2310D3BA-9C8E-4BC4-B532-2CEEC6853D9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error="Please select consumption units" promptTitle="Consumption Units" prompt="Please select whether Fleet data is reported in Miles or Litres" xr:uid="{167DFD53-25BF-4064-A401-A602DAEABE04}">
          <x14:formula1>
            <xm:f>'List Tab'!$R$4:$R$5</xm:f>
          </x14:formula1>
          <xm:sqref>C35:C49 C52:C59</xm:sqref>
        </x14:dataValidation>
        <x14:dataValidation type="list" allowBlank="1" showInputMessage="1" showErrorMessage="1" xr:uid="{4591E8AE-B8EC-401D-8CFD-EDED5F2D262A}">
          <x14:formula1>
            <xm:f>'List Tab'!$V$4:$V$7</xm:f>
          </x14:formula1>
          <xm:sqref>D80:D82</xm:sqref>
        </x14:dataValidation>
        <x14:dataValidation type="list" allowBlank="1" showInputMessage="1" showErrorMessage="1" xr:uid="{9B71A14A-3074-4393-BABB-5DDD42D48224}">
          <x14:formula1>
            <xm:f>'List Tab'!$X$4:$X$6</xm:f>
          </x14:formula1>
          <xm:sqref>D83</xm:sqref>
        </x14:dataValidation>
        <x14:dataValidation type="list" allowBlank="1" showInputMessage="1" showErrorMessage="1" xr:uid="{342955AF-5B62-4325-9907-F2629A1CD7B3}">
          <x14:formula1>
            <xm:f>'List Tab'!$Z$4:$Z$8</xm:f>
          </x14:formula1>
          <xm:sqref>D92</xm:sqref>
        </x14:dataValidation>
        <x14:dataValidation type="list" allowBlank="1" showInputMessage="1" showErrorMessage="1" xr:uid="{484B5DDB-C417-48C1-962B-9993F9682C74}">
          <x14:formula1>
            <xm:f>'List Tab'!$AB$4:$AB$8</xm:f>
          </x14:formula1>
          <xm:sqref>D93</xm:sqref>
        </x14:dataValidation>
        <x14:dataValidation type="list" allowBlank="1" showInputMessage="1" showErrorMessage="1" xr:uid="{F19B3DCE-14BC-4809-A529-3405A60606C2}">
          <x14:formula1>
            <xm:f>'List Tab'!$AD$4:$AD$9</xm:f>
          </x14:formula1>
          <xm:sqref>D94</xm:sqref>
        </x14:dataValidation>
        <x14:dataValidation type="list" allowBlank="1" showInputMessage="1" showErrorMessage="1" xr:uid="{8CE77D15-FDAE-4ADC-BCBE-9338A0E570F9}">
          <x14:formula1>
            <xm:f>'List Tab'!$AF$4:$AF$7</xm:f>
          </x14:formula1>
          <xm:sqref>D95</xm:sqref>
        </x14:dataValidation>
        <x14:dataValidation type="list" allowBlank="1" showInputMessage="1" showErrorMessage="1" xr:uid="{964D8DF1-CBCF-46FD-9C31-EDFBD3DE3EF0}">
          <x14:formula1>
            <xm:f>'List Tab'!$AH$4:$AH$8</xm:f>
          </x14:formula1>
          <xm:sqref>D96</xm:sqref>
        </x14:dataValidation>
        <x14:dataValidation type="list" allowBlank="1" showInputMessage="1" showErrorMessage="1" xr:uid="{6265ABC5-25BB-40AD-95E7-EEF9E6D08E66}">
          <x14:formula1>
            <xm:f>'List Tab'!$AJ$4:$AJ$8</xm:f>
          </x14:formula1>
          <xm:sqref>D97</xm:sqref>
        </x14:dataValidation>
        <x14:dataValidation type="list" allowBlank="1" showInputMessage="1" showErrorMessage="1" xr:uid="{F6AB4DD7-C2AB-4F1A-82AA-9FED8B837CA3}">
          <x14:formula1>
            <xm:f>'List Tab'!$AL$4:$AL$8</xm:f>
          </x14:formula1>
          <xm:sqref>D98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A91A-DC10-416F-9354-F012AA759C98}">
  <sheetPr>
    <tabColor rgb="FF00C18B"/>
  </sheetPr>
  <dimension ref="A1:U1266"/>
  <sheetViews>
    <sheetView topLeftCell="A130" zoomScale="80" zoomScaleNormal="80" workbookViewId="0">
      <selection activeCell="H144" sqref="H144"/>
    </sheetView>
  </sheetViews>
  <sheetFormatPr defaultColWidth="8.75" defaultRowHeight="14.25" x14ac:dyDescent="0.2"/>
  <cols>
    <col min="1" max="1" width="8.75" style="155"/>
    <col min="2" max="2" width="38.25" customWidth="1"/>
    <col min="3" max="3" width="28.75" bestFit="1" customWidth="1"/>
    <col min="4" max="4" width="24.125" bestFit="1" customWidth="1"/>
    <col min="5" max="5" width="13.125" bestFit="1" customWidth="1"/>
    <col min="6" max="6" width="13" bestFit="1" customWidth="1"/>
    <col min="7" max="7" width="23" bestFit="1" customWidth="1"/>
    <col min="8" max="8" width="23" style="155" bestFit="1" customWidth="1"/>
    <col min="9" max="21" width="8.75" style="155"/>
  </cols>
  <sheetData>
    <row r="1" spans="2:8" s="154" customFormat="1" x14ac:dyDescent="0.2"/>
    <row r="2" spans="2:8" s="154" customFormat="1" x14ac:dyDescent="0.2"/>
    <row r="3" spans="2:8" s="154" customFormat="1" x14ac:dyDescent="0.2"/>
    <row r="4" spans="2:8" s="154" customFormat="1" x14ac:dyDescent="0.2">
      <c r="F4" s="155"/>
      <c r="G4" s="155"/>
      <c r="H4" s="154" t="s">
        <v>605</v>
      </c>
    </row>
    <row r="5" spans="2:8" s="154" customFormat="1" x14ac:dyDescent="0.2">
      <c r="F5" s="155"/>
      <c r="G5" s="155"/>
    </row>
    <row r="6" spans="2:8" s="154" customFormat="1" x14ac:dyDescent="0.2">
      <c r="F6" s="155"/>
      <c r="G6" s="155"/>
    </row>
    <row r="7" spans="2:8" s="154" customFormat="1" ht="15" x14ac:dyDescent="0.2">
      <c r="B7" s="156" t="s">
        <v>553</v>
      </c>
      <c r="F7" s="155"/>
      <c r="G7" s="155"/>
    </row>
    <row r="8" spans="2:8" s="154" customFormat="1" x14ac:dyDescent="0.2">
      <c r="B8" s="157" t="s">
        <v>466</v>
      </c>
      <c r="C8" s="158"/>
      <c r="F8" s="155"/>
      <c r="G8" s="155"/>
    </row>
    <row r="9" spans="2:8" s="154" customFormat="1" x14ac:dyDescent="0.2">
      <c r="B9" s="159" t="s">
        <v>469</v>
      </c>
      <c r="F9" s="155"/>
      <c r="G9" s="155"/>
    </row>
    <row r="10" spans="2:8" s="154" customFormat="1" x14ac:dyDescent="0.2">
      <c r="B10" s="160" t="s">
        <v>467</v>
      </c>
      <c r="F10" s="155"/>
      <c r="G10" s="155"/>
    </row>
    <row r="11" spans="2:8" s="155" customFormat="1" ht="15" thickBot="1" x14ac:dyDescent="0.25">
      <c r="B11" s="154"/>
      <c r="C11" s="154"/>
      <c r="D11" s="154"/>
      <c r="E11" s="154"/>
      <c r="F11" s="154"/>
      <c r="G11" s="154"/>
    </row>
    <row r="12" spans="2:8" x14ac:dyDescent="0.2">
      <c r="B12" s="161"/>
      <c r="C12" s="161"/>
      <c r="D12" s="161"/>
      <c r="E12" s="161"/>
      <c r="F12" s="161"/>
      <c r="G12" s="161"/>
    </row>
    <row r="13" spans="2:8" ht="20.25" x14ac:dyDescent="0.2">
      <c r="B13" s="162" t="s">
        <v>49</v>
      </c>
      <c r="C13" s="154"/>
      <c r="D13" s="154"/>
      <c r="E13" s="154"/>
      <c r="F13" s="154"/>
      <c r="G13" s="154"/>
    </row>
    <row r="14" spans="2:8" x14ac:dyDescent="0.2">
      <c r="B14" s="154" t="s">
        <v>458</v>
      </c>
      <c r="C14" s="154"/>
      <c r="D14" s="154"/>
      <c r="E14" s="154"/>
      <c r="F14" s="154"/>
      <c r="G14" s="154"/>
    </row>
    <row r="15" spans="2:8" x14ac:dyDescent="0.2">
      <c r="B15" s="154"/>
      <c r="C15" s="154"/>
      <c r="D15" s="154"/>
      <c r="E15" s="154"/>
      <c r="F15" s="154"/>
      <c r="G15" s="154"/>
    </row>
    <row r="16" spans="2:8" ht="31.5" x14ac:dyDescent="0.2">
      <c r="B16" s="16" t="s">
        <v>58</v>
      </c>
      <c r="C16" s="148" t="s">
        <v>525</v>
      </c>
      <c r="D16" s="16" t="s">
        <v>59</v>
      </c>
      <c r="E16" s="163" t="s">
        <v>60</v>
      </c>
      <c r="F16" s="148" t="s">
        <v>61</v>
      </c>
      <c r="G16" s="148" t="s">
        <v>576</v>
      </c>
    </row>
    <row r="17" spans="2:7" x14ac:dyDescent="0.2">
      <c r="B17" s="25" t="s">
        <v>7</v>
      </c>
      <c r="C17" s="150" t="s">
        <v>24</v>
      </c>
      <c r="D17" s="151" t="str">
        <f>IF(Overview!$C$15="","",Overview!$C$15)</f>
        <v>2019-20</v>
      </c>
      <c r="E17" s="55">
        <v>11300871.27</v>
      </c>
      <c r="F17" s="127">
        <f>IFERROR(VLOOKUP(Overview!$C$15,'GHG Emission Factors'!$B:$DJ,3,0),"")</f>
        <v>0.18385000000000001</v>
      </c>
      <c r="G17" s="153">
        <f>IF(E17="","Enter Consumption Figure",(E17*F17)/1000)</f>
        <v>2077.6651829895</v>
      </c>
    </row>
    <row r="18" spans="2:7" x14ac:dyDescent="0.2">
      <c r="B18" s="25" t="s">
        <v>449</v>
      </c>
      <c r="C18" s="18" t="s">
        <v>24</v>
      </c>
      <c r="D18" s="151" t="str">
        <f>IF(Overview!$C$15="","",Overview!$C$15)</f>
        <v>2019-20</v>
      </c>
      <c r="E18" s="55"/>
      <c r="F18" s="127">
        <f>IF(C18="kWh (Gross CV)",VLOOKUP(Overview!$C$15,'GHG Emission Factors'!$B:$DJ,4,0),VLOOKUP(Overview!$C$15,'GHG Emission Factors'!$B:$DJ,11,0))</f>
        <v>0.24675</v>
      </c>
      <c r="G18" s="153" t="str">
        <f t="shared" ref="G18:G20" si="0">IF(E18="","Enter Consumption Figure",(E18*F18)/1000)</f>
        <v>Enter Consumption Figure</v>
      </c>
    </row>
    <row r="19" spans="2:7" x14ac:dyDescent="0.2">
      <c r="B19" s="25" t="s">
        <v>450</v>
      </c>
      <c r="C19" s="18" t="s">
        <v>24</v>
      </c>
      <c r="D19" s="151" t="str">
        <f>IF(Overview!$C$15="","",Overview!$C$15)</f>
        <v>2019-20</v>
      </c>
      <c r="E19" s="55"/>
      <c r="F19" s="127">
        <f>IF(C19="kWh (Gross CV)",VLOOKUP(Overview!$C$15,'GHG Emission Factors'!$B:$DJ,5,0),VLOOKUP(Overview!$C$15,'GHG Emission Factors'!$B:$DJ,12,0))</f>
        <v>0.25675999999999999</v>
      </c>
      <c r="G19" s="153" t="str">
        <f t="shared" si="0"/>
        <v>Enter Consumption Figure</v>
      </c>
    </row>
    <row r="20" spans="2:7" x14ac:dyDescent="0.2">
      <c r="B20" s="25" t="s">
        <v>451</v>
      </c>
      <c r="C20" s="150" t="s">
        <v>24</v>
      </c>
      <c r="D20" s="151" t="str">
        <f>IF(Overview!$C$15="","",Overview!$C$15)</f>
        <v>2019-20</v>
      </c>
      <c r="E20" s="55"/>
      <c r="F20" s="127">
        <f>IFERROR(VLOOKUP(Overview!$C$15,'GHG Emission Factors'!$B:$DJ,6,0),"")</f>
        <v>1.5630000000000002E-2</v>
      </c>
      <c r="G20" s="153" t="str">
        <f t="shared" si="0"/>
        <v>Enter Consumption Figure</v>
      </c>
    </row>
    <row r="21" spans="2:7" x14ac:dyDescent="0.2">
      <c r="B21" s="154"/>
      <c r="C21" s="164"/>
      <c r="D21" s="164"/>
      <c r="E21" s="154"/>
      <c r="F21" s="164"/>
      <c r="G21" s="164"/>
    </row>
    <row r="22" spans="2:7" x14ac:dyDescent="0.2">
      <c r="B22" s="154" t="s">
        <v>510</v>
      </c>
      <c r="C22" s="154"/>
      <c r="D22" s="154"/>
      <c r="E22" s="154"/>
      <c r="F22" s="154"/>
      <c r="G22" s="154"/>
    </row>
    <row r="23" spans="2:7" x14ac:dyDescent="0.2">
      <c r="B23" s="154"/>
      <c r="C23" s="154"/>
      <c r="D23" s="154"/>
      <c r="E23" s="154"/>
      <c r="F23" s="154"/>
      <c r="G23" s="154"/>
    </row>
    <row r="24" spans="2:7" ht="60" x14ac:dyDescent="0.2">
      <c r="B24" s="148" t="s">
        <v>579</v>
      </c>
      <c r="C24" s="16" t="s">
        <v>455</v>
      </c>
      <c r="D24" s="16" t="s">
        <v>59</v>
      </c>
      <c r="E24" s="163" t="s">
        <v>60</v>
      </c>
      <c r="F24" s="148" t="s">
        <v>61</v>
      </c>
      <c r="G24" s="148" t="s">
        <v>576</v>
      </c>
    </row>
    <row r="25" spans="2:7" x14ac:dyDescent="0.2">
      <c r="B25" s="165" t="s">
        <v>592</v>
      </c>
      <c r="C25" s="166" t="s">
        <v>581</v>
      </c>
      <c r="D25" s="151" t="str">
        <f>IF(Overview!$C$15="","",Overview!$C$15)</f>
        <v>2019-20</v>
      </c>
      <c r="E25" s="55"/>
      <c r="F25" s="132">
        <f>IFERROR(VLOOKUP(Overview!$C$15,'GHG Emission Factors'!$B:$DJ,13,0),"")</f>
        <v>675</v>
      </c>
      <c r="G25" s="153" t="str">
        <f t="shared" ref="G25:G27" si="1">IF(E25="","Enter Consumption Figure",(E25*F25)/1000)</f>
        <v>Enter Consumption Figure</v>
      </c>
    </row>
    <row r="26" spans="2:7" x14ac:dyDescent="0.2">
      <c r="B26" s="165" t="s">
        <v>580</v>
      </c>
      <c r="C26" s="166" t="s">
        <v>581</v>
      </c>
      <c r="D26" s="151" t="str">
        <f>IF(Overview!$C$15="","",Overview!$C$15)</f>
        <v>2019-20</v>
      </c>
      <c r="E26" s="55"/>
      <c r="F26" s="132">
        <f>IFERROR(VLOOKUP(Overview!$C$15,'GHG Emission Factors'!$B:$DJ,14,0),"")</f>
        <v>2088</v>
      </c>
      <c r="G26" s="153" t="str">
        <f t="shared" si="1"/>
        <v>Enter Consumption Figure</v>
      </c>
    </row>
    <row r="27" spans="2:7" x14ac:dyDescent="0.2">
      <c r="B27" s="165" t="s">
        <v>590</v>
      </c>
      <c r="C27" s="166" t="s">
        <v>581</v>
      </c>
      <c r="D27" s="151" t="str">
        <f>IF(Overview!$C$15="","",Overview!$C$15)</f>
        <v>2019-20</v>
      </c>
      <c r="E27" s="55"/>
      <c r="F27" s="132">
        <f>IFERROR(VLOOKUP(Overview!$C$15,'GHG Emission Factors'!$B:$DJ,15,0),"")</f>
        <v>1810</v>
      </c>
      <c r="G27" s="153" t="str">
        <f t="shared" si="1"/>
        <v>Enter Consumption Figure</v>
      </c>
    </row>
    <row r="28" spans="2:7" x14ac:dyDescent="0.2">
      <c r="B28" s="165" t="s">
        <v>578</v>
      </c>
      <c r="C28" s="140"/>
      <c r="D28" s="151" t="str">
        <f>IF(Overview!$C$15="","",Overview!$C$15)</f>
        <v>2019-20</v>
      </c>
      <c r="E28" s="55"/>
      <c r="F28" s="54"/>
      <c r="G28" s="19"/>
    </row>
    <row r="29" spans="2:7" s="155" customFormat="1" x14ac:dyDescent="0.2">
      <c r="B29" s="154"/>
      <c r="C29" s="164"/>
      <c r="D29" s="164"/>
      <c r="E29" s="154"/>
      <c r="F29" s="164"/>
      <c r="G29" s="164"/>
    </row>
    <row r="30" spans="2:7" s="155" customFormat="1" x14ac:dyDescent="0.2">
      <c r="B30" s="154" t="s">
        <v>614</v>
      </c>
      <c r="C30" s="164"/>
      <c r="D30" s="164"/>
      <c r="E30" s="154"/>
      <c r="F30" s="164"/>
      <c r="G30" s="164"/>
    </row>
    <row r="31" spans="2:7" s="155" customFormat="1" x14ac:dyDescent="0.2">
      <c r="B31" s="154"/>
      <c r="C31" s="164"/>
      <c r="D31" s="164"/>
      <c r="E31" s="154"/>
      <c r="F31" s="164"/>
      <c r="G31" s="164"/>
    </row>
    <row r="32" spans="2:7" ht="45" x14ac:dyDescent="0.2">
      <c r="B32" s="122" t="s">
        <v>509</v>
      </c>
      <c r="C32" s="122" t="s">
        <v>525</v>
      </c>
      <c r="D32" s="121" t="s">
        <v>59</v>
      </c>
      <c r="E32" s="123" t="s">
        <v>60</v>
      </c>
      <c r="F32" s="122" t="s">
        <v>61</v>
      </c>
      <c r="G32" s="122" t="s">
        <v>576</v>
      </c>
    </row>
    <row r="33" spans="2:7" x14ac:dyDescent="0.2">
      <c r="B33" s="124" t="s">
        <v>472</v>
      </c>
      <c r="C33" s="18" t="s">
        <v>25</v>
      </c>
      <c r="D33" s="126" t="str">
        <f>IF(Overview!$C$15="","",Overview!$C$15)</f>
        <v>2019-20</v>
      </c>
      <c r="E33" s="55"/>
      <c r="F33" s="127">
        <f>IF(C33="Miles",VLOOKUP(Overview!$C$15,'GHG Emission Factors'!$B:$DJ,16,0),VLOOKUP(Overview!$C$15,'GHG Emission Factors'!$B:$DJ,41,0))</f>
        <v>0.22868000000000002</v>
      </c>
      <c r="G33" s="128" t="str">
        <f t="shared" ref="G33:G59" si="2">IF(E33="","Enter Consumption Figure",(E33*F33)/1000)</f>
        <v>Enter Consumption Figure</v>
      </c>
    </row>
    <row r="34" spans="2:7" x14ac:dyDescent="0.2">
      <c r="B34" s="124" t="s">
        <v>476</v>
      </c>
      <c r="C34" s="18" t="s">
        <v>25</v>
      </c>
      <c r="D34" s="126" t="str">
        <f>IF(Overview!$C$15="","",Overview!$C$15)</f>
        <v>2019-20</v>
      </c>
      <c r="E34" s="55"/>
      <c r="F34" s="127">
        <f>IF(C34="Miles",VLOOKUP(Overview!$C$15,'GHG Emission Factors'!$B:$DJ,17,0),VLOOKUP(Overview!$C$15,'GHG Emission Factors'!$B:$DJ,41,0))</f>
        <v>0.27459</v>
      </c>
      <c r="G34" s="128" t="str">
        <f t="shared" si="2"/>
        <v>Enter Consumption Figure</v>
      </c>
    </row>
    <row r="35" spans="2:7" x14ac:dyDescent="0.2">
      <c r="B35" s="124" t="s">
        <v>519</v>
      </c>
      <c r="C35" s="18" t="s">
        <v>25</v>
      </c>
      <c r="D35" s="126" t="str">
        <f>IF(Overview!$C$15="","",Overview!$C$15)</f>
        <v>2019-20</v>
      </c>
      <c r="E35" s="55"/>
      <c r="F35" s="127">
        <f>IF(C35="Miles",VLOOKUP(Overview!$C$15,'GHG Emission Factors'!$B:$DJ,18,0),VLOOKUP(Overview!$C$15,'GHG Emission Factors'!$B:$DJ,41,0))</f>
        <v>0.33712999999999999</v>
      </c>
      <c r="G35" s="128" t="str">
        <f t="shared" si="2"/>
        <v>Enter Consumption Figure</v>
      </c>
    </row>
    <row r="36" spans="2:7" x14ac:dyDescent="0.2">
      <c r="B36" s="124" t="s">
        <v>515</v>
      </c>
      <c r="C36" s="18" t="s">
        <v>25</v>
      </c>
      <c r="D36" s="126" t="str">
        <f>IF(Overview!$C$15="","",Overview!$C$15)</f>
        <v>2019-20</v>
      </c>
      <c r="E36" s="55"/>
      <c r="F36" s="127">
        <f>IF(C36="Miles",VLOOKUP(Overview!$C$15,'GHG Emission Factors'!$B:$DJ,19,0),VLOOKUP(Overview!$C$15,'GHG Emission Factors'!$B:$DJ,41,0))</f>
        <v>0.29132999999999998</v>
      </c>
      <c r="G36" s="128" t="str">
        <f t="shared" si="2"/>
        <v>Enter Consumption Figure</v>
      </c>
    </row>
    <row r="37" spans="2:7" x14ac:dyDescent="0.2">
      <c r="B37" s="124" t="s">
        <v>477</v>
      </c>
      <c r="C37" s="18" t="s">
        <v>25</v>
      </c>
      <c r="D37" s="126" t="str">
        <f>IF(Overview!$C$15="","",Overview!$C$15)</f>
        <v>2019-20</v>
      </c>
      <c r="E37" s="55"/>
      <c r="F37" s="127">
        <f>IF(C37="Miles",VLOOKUP(Overview!$C$15,'GHG Emission Factors'!$B:$DJ,20,0),VLOOKUP(Overview!$C$15,'GHG Emission Factors'!$B:$DJ,41,0))</f>
        <v>0.24068000000000001</v>
      </c>
      <c r="G37" s="128" t="str">
        <f t="shared" si="2"/>
        <v>Enter Consumption Figure</v>
      </c>
    </row>
    <row r="38" spans="2:7" x14ac:dyDescent="0.2">
      <c r="B38" s="124" t="s">
        <v>12</v>
      </c>
      <c r="C38" s="18" t="s">
        <v>25</v>
      </c>
      <c r="D38" s="126" t="str">
        <f>IF(Overview!$C$15="","",Overview!$C$15)</f>
        <v>2019-20</v>
      </c>
      <c r="E38" s="55"/>
      <c r="F38" s="127">
        <f>IF(C38="Miles",VLOOKUP(Overview!$C$15,'GHG Emission Factors'!$B:$DJ,21,0),VLOOKUP(Overview!$C$15,'GHG Emission Factors'!$B:$DJ,41,0))</f>
        <v>0.31309999999999999</v>
      </c>
      <c r="G38" s="128" t="str">
        <f t="shared" si="2"/>
        <v>Enter Consumption Figure</v>
      </c>
    </row>
    <row r="39" spans="2:7" x14ac:dyDescent="0.2">
      <c r="B39" s="124" t="s">
        <v>13</v>
      </c>
      <c r="C39" s="18" t="s">
        <v>25</v>
      </c>
      <c r="D39" s="126" t="str">
        <f>IF(Overview!$C$15="","",Overview!$C$15)</f>
        <v>2019-20</v>
      </c>
      <c r="E39" s="55"/>
      <c r="F39" s="127">
        <f>IF(C39="Miles",VLOOKUP(Overview!$C$15,'GHG Emission Factors'!$B:$DJ,22,0),VLOOKUP(Overview!$C$15,'GHG Emission Factors'!$B:$DJ,41,0))</f>
        <v>0.44702999999999998</v>
      </c>
      <c r="G39" s="128" t="str">
        <f t="shared" si="2"/>
        <v>Enter Consumption Figure</v>
      </c>
    </row>
    <row r="40" spans="2:7" x14ac:dyDescent="0.2">
      <c r="B40" s="124" t="s">
        <v>14</v>
      </c>
      <c r="C40" s="18" t="s">
        <v>25</v>
      </c>
      <c r="D40" s="126" t="str">
        <f>IF(Overview!$C$15="","",Overview!$C$15)</f>
        <v>2019-20</v>
      </c>
      <c r="E40" s="55"/>
      <c r="F40" s="127">
        <f>IF(C40="Miles",VLOOKUP(Overview!$C$15,'GHG Emission Factors'!$B:$DJ,23,0),VLOOKUP(Overview!$C$15,'GHG Emission Factors'!$B:$DJ,41,0))</f>
        <v>0.32601999999999998</v>
      </c>
      <c r="G40" s="128" t="str">
        <f t="shared" si="2"/>
        <v>Enter Consumption Figure</v>
      </c>
    </row>
    <row r="41" spans="2:7" x14ac:dyDescent="0.2">
      <c r="B41" s="124" t="s">
        <v>516</v>
      </c>
      <c r="C41" s="18" t="s">
        <v>25</v>
      </c>
      <c r="D41" s="126" t="str">
        <f>IF(Overview!$C$15="","",Overview!$C$15)</f>
        <v>2019-20</v>
      </c>
      <c r="E41" s="55"/>
      <c r="F41" s="127">
        <f>IF(C41="Miles",VLOOKUP(Overview!$C$15,'GHG Emission Factors'!$B:$DJ,24,0),VLOOKUP(Overview!$C$15,'GHG Emission Factors'!$B:$DJ,41,0))</f>
        <v>0.29132999999999998</v>
      </c>
      <c r="G41" s="128" t="str">
        <f t="shared" si="2"/>
        <v>Enter Consumption Figure</v>
      </c>
    </row>
    <row r="42" spans="2:7" x14ac:dyDescent="0.2">
      <c r="B42" s="124" t="s">
        <v>517</v>
      </c>
      <c r="C42" s="18" t="s">
        <v>25</v>
      </c>
      <c r="D42" s="126" t="str">
        <f>IF(Overview!$C$15="","",Overview!$C$15)</f>
        <v>2019-20</v>
      </c>
      <c r="E42" s="55"/>
      <c r="F42" s="127">
        <f>IF(C42="Miles",VLOOKUP(Overview!$C$15,'GHG Emission Factors'!$B:$DJ,25,0),VLOOKUP(Overview!$C$15,'GHG Emission Factors'!$B:$DJ,42,0))</f>
        <v>0.24736</v>
      </c>
      <c r="G42" s="128" t="str">
        <f t="shared" si="2"/>
        <v>Enter Consumption Figure</v>
      </c>
    </row>
    <row r="43" spans="2:7" x14ac:dyDescent="0.2">
      <c r="B43" s="124" t="s">
        <v>521</v>
      </c>
      <c r="C43" s="18" t="s">
        <v>25</v>
      </c>
      <c r="D43" s="126" t="str">
        <f>IF(Overview!$C$15="","",Overview!$C$15)</f>
        <v>2019-20</v>
      </c>
      <c r="E43" s="55"/>
      <c r="F43" s="127">
        <f>IF(C43="Miles",VLOOKUP(Overview!$C$15,'GHG Emission Factors'!$B:$DJ,26,0),VLOOKUP(Overview!$C$15,'GHG Emission Factors'!$B:$DJ,42,0))</f>
        <v>0.30945</v>
      </c>
      <c r="G43" s="128" t="str">
        <f t="shared" si="2"/>
        <v>Enter Consumption Figure</v>
      </c>
    </row>
    <row r="44" spans="2:7" x14ac:dyDescent="0.2">
      <c r="B44" s="124" t="s">
        <v>522</v>
      </c>
      <c r="C44" s="18" t="s">
        <v>25</v>
      </c>
      <c r="D44" s="126" t="str">
        <f>IF(Overview!$C$15="","",Overview!$C$15)</f>
        <v>2019-20</v>
      </c>
      <c r="E44" s="55"/>
      <c r="F44" s="127">
        <f>IF(C44="Miles",VLOOKUP(Overview!$C$15,'GHG Emission Factors'!$B:$DJ,27,0),VLOOKUP(Overview!$C$15,'GHG Emission Factors'!$B:$DJ,42,0))</f>
        <v>0.45535999999999999</v>
      </c>
      <c r="G44" s="128" t="str">
        <f t="shared" si="2"/>
        <v>Enter Consumption Figure</v>
      </c>
    </row>
    <row r="45" spans="2:7" x14ac:dyDescent="0.2">
      <c r="B45" s="124" t="s">
        <v>518</v>
      </c>
      <c r="C45" s="18" t="s">
        <v>25</v>
      </c>
      <c r="D45" s="126" t="str">
        <f>IF(Overview!$C$15="","",Overview!$C$15)</f>
        <v>2019-20</v>
      </c>
      <c r="E45" s="55"/>
      <c r="F45" s="127">
        <f>IF(C45="Miles",VLOOKUP(Overview!$C$15,'GHG Emission Factors'!$B:$DJ,28,0),VLOOKUP(Overview!$C$15,'GHG Emission Factors'!$B:$DJ,42,0))</f>
        <v>0.16930000000000001</v>
      </c>
      <c r="G45" s="128" t="str">
        <f t="shared" si="2"/>
        <v>Enter Consumption Figure</v>
      </c>
    </row>
    <row r="46" spans="2:7" x14ac:dyDescent="0.2">
      <c r="B46" s="124" t="s">
        <v>544</v>
      </c>
      <c r="C46" s="18" t="s">
        <v>25</v>
      </c>
      <c r="D46" s="126" t="str">
        <f>IF(Overview!$C$15="","",Overview!$C$15)</f>
        <v>2019-20</v>
      </c>
      <c r="E46" s="55"/>
      <c r="F46" s="127">
        <f>IF(C46="Miles",VLOOKUP(Overview!$C$15,'GHG Emission Factors'!$B:$DJ,29,0),VLOOKUP(Overview!$C$15,'GHG Emission Factors'!$B:$DJ,42,0))</f>
        <v>0.17534</v>
      </c>
      <c r="G46" s="128" t="str">
        <f t="shared" si="2"/>
        <v>Enter Consumption Figure</v>
      </c>
    </row>
    <row r="47" spans="2:7" x14ac:dyDescent="0.2">
      <c r="B47" s="124" t="s">
        <v>545</v>
      </c>
      <c r="C47" s="18" t="s">
        <v>25</v>
      </c>
      <c r="D47" s="126" t="str">
        <f>IF(Overview!$C$15="","",Overview!$C$15)</f>
        <v>2019-20</v>
      </c>
      <c r="E47" s="55"/>
      <c r="F47" s="127">
        <f>IF(C47="Miles",VLOOKUP(Overview!$C$15,'GHG Emission Factors'!$B:$DJ,30,0),VLOOKUP(Overview!$C$15,'GHG Emission Factors'!$B:$DJ,42,0))</f>
        <v>0.21207000000000001</v>
      </c>
      <c r="G47" s="128" t="str">
        <f t="shared" si="2"/>
        <v>Enter Consumption Figure</v>
      </c>
    </row>
    <row r="48" spans="2:7" x14ac:dyDescent="0.2">
      <c r="B48" s="124" t="s">
        <v>542</v>
      </c>
      <c r="C48" s="125" t="s">
        <v>25</v>
      </c>
      <c r="D48" s="126" t="str">
        <f>IF(Overview!$C$15="","",Overview!$C$15)</f>
        <v>2019-20</v>
      </c>
      <c r="E48" s="55"/>
      <c r="F48" s="127">
        <f>IFERROR(VLOOKUP(Overview!$C$15,'GHG Emission Factors'!$B:$DJ,31,0),"")</f>
        <v>8.931E-2</v>
      </c>
      <c r="G48" s="128" t="str">
        <f t="shared" si="2"/>
        <v>Enter Consumption Figure</v>
      </c>
    </row>
    <row r="49" spans="1:21" x14ac:dyDescent="0.2">
      <c r="B49" s="124" t="s">
        <v>543</v>
      </c>
      <c r="C49" s="125" t="s">
        <v>25</v>
      </c>
      <c r="D49" s="126" t="str">
        <f>IF(Overview!$C$15="","",Overview!$C$15)</f>
        <v>2019-20</v>
      </c>
      <c r="E49" s="55"/>
      <c r="F49" s="127">
        <f>IFERROR(VLOOKUP(Overview!$C$15,'GHG Emission Factors'!$B:$DJ,32,0),"")</f>
        <v>0.28502</v>
      </c>
      <c r="G49" s="128" t="str">
        <f t="shared" si="2"/>
        <v>Enter Consumption Figure</v>
      </c>
    </row>
    <row r="50" spans="1:21" x14ac:dyDescent="0.2">
      <c r="B50" s="124" t="s">
        <v>537</v>
      </c>
      <c r="C50" s="18" t="s">
        <v>25</v>
      </c>
      <c r="D50" s="126" t="str">
        <f>IF(Overview!$C$15="","",Overview!$C$15)</f>
        <v>2019-20</v>
      </c>
      <c r="E50" s="55"/>
      <c r="F50" s="238">
        <f>IF(C50="Miles",VLOOKUP(Overview!$C$15,'GHG Emission Factors'!$B:$DJ,33,0),VLOOKUP(Overview!$C$15,'GHG Emission Factors'!$B:$DJ,41,0))</f>
        <v>0.78924000000000005</v>
      </c>
      <c r="G50" s="128" t="str">
        <f t="shared" si="2"/>
        <v>Enter Consumption Figure</v>
      </c>
    </row>
    <row r="51" spans="1:21" x14ac:dyDescent="0.2">
      <c r="B51" s="124" t="s">
        <v>528</v>
      </c>
      <c r="C51" s="18" t="s">
        <v>25</v>
      </c>
      <c r="D51" s="126" t="str">
        <f>IF(Overview!$C$15="","",Overview!$C$15)</f>
        <v>2019-20</v>
      </c>
      <c r="E51" s="55"/>
      <c r="F51" s="238">
        <f>IF(C51="Miles",VLOOKUP(Overview!$C$15,'GHG Emission Factors'!$B:$DJ,34,0),VLOOKUP(Overview!$C$15,'GHG Emission Factors'!$B:$DJ,41,0))</f>
        <v>0.96384999999999998</v>
      </c>
      <c r="G51" s="128" t="str">
        <f t="shared" si="2"/>
        <v>Enter Consumption Figure</v>
      </c>
    </row>
    <row r="52" spans="1:21" x14ac:dyDescent="0.2">
      <c r="B52" s="124" t="s">
        <v>529</v>
      </c>
      <c r="C52" s="18" t="s">
        <v>25</v>
      </c>
      <c r="D52" s="126" t="str">
        <f>IF(Overview!$C$15="","",Overview!$C$15)</f>
        <v>2019-20</v>
      </c>
      <c r="E52" s="55">
        <v>413739</v>
      </c>
      <c r="F52" s="238">
        <f>IF(C52="Miles",VLOOKUP(Overview!$C$15,'GHG Emission Factors'!$B:$DJ,35,0),VLOOKUP(Overview!$C$15,'GHG Emission Factors'!$B:$DJ,41,0))</f>
        <v>1.58108</v>
      </c>
      <c r="G52" s="128">
        <f t="shared" si="2"/>
        <v>654.15445811999996</v>
      </c>
    </row>
    <row r="53" spans="1:21" x14ac:dyDescent="0.2">
      <c r="B53" s="124" t="s">
        <v>534</v>
      </c>
      <c r="C53" s="18" t="s">
        <v>25</v>
      </c>
      <c r="D53" s="126" t="str">
        <f>IF(Overview!$C$15="","",Overview!$C$15)</f>
        <v>2019-20</v>
      </c>
      <c r="E53" s="55"/>
      <c r="F53" s="238">
        <f>IF(C53="Miles",VLOOKUP(Overview!$C$15,'GHG Emission Factors'!$B:$DJ,36,0),VLOOKUP(Overview!$C$15,'GHG Emission Factors'!$B:$DJ,41,0))</f>
        <v>1.3175300000000001</v>
      </c>
      <c r="G53" s="128" t="str">
        <f t="shared" si="2"/>
        <v>Enter Consumption Figure</v>
      </c>
    </row>
    <row r="54" spans="1:21" x14ac:dyDescent="0.2">
      <c r="B54" s="124" t="s">
        <v>530</v>
      </c>
      <c r="C54" s="18" t="s">
        <v>25</v>
      </c>
      <c r="D54" s="126" t="str">
        <f>IF(Overview!$C$15="","",Overview!$C$15)</f>
        <v>2019-20</v>
      </c>
      <c r="E54" s="55"/>
      <c r="F54" s="127">
        <f>IF(C54="Miles",VLOOKUP(Overview!$C$15,'GHG Emission Factors'!$B:$DJ,37,0),VLOOKUP(Overview!$C$15,'GHG Emission Factors'!$B:$DJ,41,0))</f>
        <v>1.2664</v>
      </c>
      <c r="G54" s="128" t="str">
        <f t="shared" si="2"/>
        <v>Enter Consumption Figure</v>
      </c>
    </row>
    <row r="55" spans="1:21" x14ac:dyDescent="0.2">
      <c r="B55" s="124" t="s">
        <v>531</v>
      </c>
      <c r="C55" s="18" t="s">
        <v>25</v>
      </c>
      <c r="D55" s="126" t="str">
        <f>IF(Overview!$C$15="","",Overview!$C$15)</f>
        <v>2019-20</v>
      </c>
      <c r="E55" s="55"/>
      <c r="F55" s="127">
        <f>IF(C55="Miles",VLOOKUP(Overview!$C$15,'GHG Emission Factors'!$B:$DJ,38,0),VLOOKUP(Overview!$C$15,'GHG Emission Factors'!$B:$DJ,41,0))</f>
        <v>1.50786</v>
      </c>
      <c r="G55" s="128" t="str">
        <f t="shared" si="2"/>
        <v>Enter Consumption Figure</v>
      </c>
    </row>
    <row r="56" spans="1:21" x14ac:dyDescent="0.2">
      <c r="B56" s="124" t="s">
        <v>533</v>
      </c>
      <c r="C56" s="18" t="s">
        <v>25</v>
      </c>
      <c r="D56" s="126" t="str">
        <f>IF(Overview!$C$15="","",Overview!$C$15)</f>
        <v>2019-20</v>
      </c>
      <c r="E56" s="55"/>
      <c r="F56" s="127">
        <f>IF(C56="Miles",VLOOKUP(Overview!$C$15,'GHG Emission Factors'!$B:$DJ,39,0),VLOOKUP(Overview!$C$15,'GHG Emission Factors'!$B:$DJ,41,0))</f>
        <v>1.4932799999999999</v>
      </c>
      <c r="G56" s="128" t="str">
        <f t="shared" si="2"/>
        <v>Enter Consumption Figure</v>
      </c>
    </row>
    <row r="57" spans="1:21" x14ac:dyDescent="0.2">
      <c r="B57" s="124" t="s">
        <v>532</v>
      </c>
      <c r="C57" s="18" t="s">
        <v>25</v>
      </c>
      <c r="D57" s="126" t="str">
        <f>IF(Overview!$C$15="","",Overview!$C$15)</f>
        <v>2019-20</v>
      </c>
      <c r="E57" s="55"/>
      <c r="F57" s="127">
        <f>IF(C57="Miles",VLOOKUP(Overview!$C$15,'GHG Emission Factors'!$B:$DJ,40,0),VLOOKUP(Overview!$C$15,'GHG Emission Factors'!$B:$DJ,41,0))</f>
        <v>1.41662</v>
      </c>
      <c r="G57" s="128" t="str">
        <f t="shared" si="2"/>
        <v>Enter Consumption Figure</v>
      </c>
    </row>
    <row r="58" spans="1:21" x14ac:dyDescent="0.2">
      <c r="B58" s="124" t="s">
        <v>536</v>
      </c>
      <c r="C58" s="125" t="s">
        <v>524</v>
      </c>
      <c r="D58" s="126" t="str">
        <f>IF(Overview!$C$15="","",Overview!$C$15)</f>
        <v>2019-20</v>
      </c>
      <c r="E58" s="55"/>
      <c r="F58" s="127">
        <f>IFERROR(VLOOKUP(Overview!$C$15,'GHG Emission Factors'!$B:$DJ,41,0),"")</f>
        <v>2.5941100000000001</v>
      </c>
      <c r="G58" s="128" t="str">
        <f t="shared" si="2"/>
        <v>Enter Consumption Figure</v>
      </c>
    </row>
    <row r="59" spans="1:21" x14ac:dyDescent="0.2">
      <c r="B59" s="124" t="s">
        <v>535</v>
      </c>
      <c r="C59" s="125" t="s">
        <v>524</v>
      </c>
      <c r="D59" s="126" t="str">
        <f>IF(Overview!$C$15="","",Overview!$C$15)</f>
        <v>2019-20</v>
      </c>
      <c r="E59" s="55"/>
      <c r="F59" s="127">
        <f>IFERROR(VLOOKUP(Overview!$C$15,'GHG Emission Factors'!$B:$DJ,42,0),"")</f>
        <v>2.2090399999999999</v>
      </c>
      <c r="G59" s="128" t="str">
        <f t="shared" si="2"/>
        <v>Enter Consumption Figure</v>
      </c>
    </row>
    <row r="60" spans="1:21" ht="18" customHeight="1" x14ac:dyDescent="0.2">
      <c r="B60" s="154"/>
      <c r="C60" s="164"/>
      <c r="D60" s="164"/>
      <c r="E60" s="164"/>
      <c r="F60" s="164"/>
      <c r="G60" s="164"/>
    </row>
    <row r="61" spans="1:21" s="155" customFormat="1" ht="15" thickBot="1" x14ac:dyDescent="0.25">
      <c r="B61" s="167"/>
      <c r="C61" s="167"/>
      <c r="D61" s="167"/>
      <c r="E61" s="167"/>
      <c r="F61" s="167"/>
      <c r="G61" s="167"/>
    </row>
    <row r="62" spans="1:21" s="155" customFormat="1" x14ac:dyDescent="0.2">
      <c r="B62" s="154"/>
      <c r="C62" s="154"/>
      <c r="D62" s="154"/>
      <c r="E62" s="154"/>
      <c r="F62" s="154"/>
      <c r="G62" s="154"/>
    </row>
    <row r="63" spans="1:21" s="1" customFormat="1" ht="15" x14ac:dyDescent="0.2">
      <c r="A63" s="154"/>
      <c r="B63" s="154" t="s">
        <v>570</v>
      </c>
      <c r="C63" s="168"/>
      <c r="D63" s="168"/>
      <c r="E63" s="168"/>
      <c r="F63" s="168"/>
      <c r="G63" s="168"/>
      <c r="H63" s="154"/>
      <c r="I63" s="154"/>
      <c r="J63" s="154"/>
      <c r="K63" s="154"/>
      <c r="L63" s="154"/>
      <c r="M63" s="154"/>
      <c r="N63" s="154"/>
      <c r="O63" s="154"/>
      <c r="P63" s="154"/>
      <c r="Q63" s="154"/>
      <c r="R63" s="154"/>
      <c r="S63" s="154"/>
      <c r="T63" s="154"/>
      <c r="U63" s="154"/>
    </row>
    <row r="64" spans="1:21" s="1" customFormat="1" ht="14.1" customHeight="1" x14ac:dyDescent="0.2">
      <c r="A64" s="154"/>
      <c r="B64" s="278" t="s">
        <v>589</v>
      </c>
      <c r="C64" s="278"/>
      <c r="D64" s="278"/>
      <c r="E64" s="278"/>
      <c r="F64" s="278"/>
      <c r="G64" s="278"/>
      <c r="H64" s="154"/>
      <c r="I64" s="154"/>
      <c r="J64" s="154"/>
      <c r="K64" s="154"/>
      <c r="L64" s="154"/>
      <c r="M64" s="154"/>
      <c r="N64" s="154"/>
      <c r="O64" s="154"/>
      <c r="P64" s="154"/>
      <c r="Q64" s="154"/>
      <c r="R64" s="154"/>
      <c r="S64" s="154"/>
      <c r="T64" s="154"/>
      <c r="U64" s="154"/>
    </row>
    <row r="65" spans="1:21" s="1" customFormat="1" x14ac:dyDescent="0.2">
      <c r="A65" s="154"/>
      <c r="B65" s="278"/>
      <c r="C65" s="278"/>
      <c r="D65" s="278"/>
      <c r="E65" s="278"/>
      <c r="F65" s="278"/>
      <c r="G65" s="278"/>
      <c r="H65" s="154"/>
      <c r="I65" s="154"/>
      <c r="J65" s="154"/>
      <c r="K65" s="154"/>
      <c r="L65" s="154"/>
      <c r="M65" s="154"/>
      <c r="N65" s="154"/>
      <c r="O65" s="154"/>
      <c r="P65" s="154"/>
      <c r="Q65" s="154"/>
      <c r="R65" s="154"/>
      <c r="S65" s="154"/>
      <c r="T65" s="154"/>
      <c r="U65" s="154"/>
    </row>
    <row r="66" spans="1:21" s="1" customFormat="1" x14ac:dyDescent="0.2">
      <c r="A66" s="154"/>
      <c r="B66" s="278"/>
      <c r="C66" s="278"/>
      <c r="D66" s="278"/>
      <c r="E66" s="278"/>
      <c r="F66" s="278"/>
      <c r="G66" s="278"/>
      <c r="H66" s="154"/>
      <c r="I66" s="154"/>
      <c r="J66" s="154"/>
      <c r="K66" s="154"/>
      <c r="L66" s="154"/>
      <c r="M66" s="154"/>
      <c r="N66" s="154"/>
      <c r="O66" s="154"/>
      <c r="P66" s="154"/>
      <c r="Q66" s="154"/>
      <c r="R66" s="154"/>
      <c r="S66" s="154"/>
      <c r="T66" s="154"/>
      <c r="U66" s="154"/>
    </row>
    <row r="67" spans="1:21" s="1" customFormat="1" x14ac:dyDescent="0.2">
      <c r="A67" s="154"/>
      <c r="B67" s="278"/>
      <c r="C67" s="278"/>
      <c r="D67" s="278"/>
      <c r="E67" s="278"/>
      <c r="F67" s="278"/>
      <c r="G67" s="278"/>
      <c r="H67" s="154"/>
      <c r="I67" s="154"/>
      <c r="J67" s="154"/>
      <c r="K67" s="154"/>
      <c r="L67" s="154"/>
      <c r="M67" s="154"/>
      <c r="N67" s="154"/>
      <c r="O67" s="154"/>
      <c r="P67" s="154"/>
      <c r="Q67" s="154"/>
      <c r="R67" s="154"/>
      <c r="S67" s="154"/>
      <c r="T67" s="154"/>
      <c r="U67" s="154"/>
    </row>
    <row r="68" spans="1:21" s="1" customFormat="1" x14ac:dyDescent="0.2">
      <c r="A68" s="154"/>
      <c r="B68" s="278"/>
      <c r="C68" s="278"/>
      <c r="D68" s="278"/>
      <c r="E68" s="278"/>
      <c r="F68" s="278"/>
      <c r="G68" s="278"/>
      <c r="H68" s="154"/>
      <c r="I68" s="154"/>
      <c r="J68" s="154"/>
      <c r="K68" s="154"/>
      <c r="L68" s="154"/>
      <c r="M68" s="154"/>
      <c r="N68" s="154"/>
      <c r="O68" s="154"/>
      <c r="P68" s="154"/>
      <c r="Q68" s="154"/>
      <c r="R68" s="154"/>
      <c r="S68" s="154"/>
      <c r="T68" s="154"/>
      <c r="U68" s="154"/>
    </row>
    <row r="69" spans="1:21" s="1" customFormat="1" x14ac:dyDescent="0.2">
      <c r="A69" s="154"/>
      <c r="B69" s="278"/>
      <c r="C69" s="278"/>
      <c r="D69" s="278"/>
      <c r="E69" s="278"/>
      <c r="F69" s="278"/>
      <c r="G69" s="278"/>
      <c r="H69" s="154"/>
      <c r="I69" s="154"/>
      <c r="J69" s="154"/>
      <c r="K69" s="154"/>
      <c r="L69" s="154"/>
      <c r="M69" s="154"/>
      <c r="N69" s="154"/>
      <c r="O69" s="154"/>
      <c r="P69" s="154"/>
      <c r="Q69" s="154"/>
      <c r="R69" s="154"/>
      <c r="S69" s="154"/>
      <c r="T69" s="154"/>
      <c r="U69" s="154"/>
    </row>
    <row r="70" spans="1:21" s="1" customFormat="1" x14ac:dyDescent="0.2">
      <c r="A70" s="154"/>
      <c r="B70" s="278"/>
      <c r="C70" s="278"/>
      <c r="D70" s="278"/>
      <c r="E70" s="278"/>
      <c r="F70" s="278"/>
      <c r="G70" s="278"/>
      <c r="H70" s="154"/>
      <c r="I70" s="154"/>
      <c r="J70" s="154"/>
      <c r="K70" s="154"/>
      <c r="L70" s="154"/>
      <c r="M70" s="154"/>
      <c r="N70" s="154"/>
      <c r="O70" s="154"/>
      <c r="P70" s="154"/>
      <c r="Q70" s="154"/>
      <c r="R70" s="154"/>
      <c r="S70" s="154"/>
      <c r="T70" s="154"/>
      <c r="U70" s="154"/>
    </row>
    <row r="71" spans="1:21" s="1" customFormat="1" x14ac:dyDescent="0.2">
      <c r="A71" s="154"/>
      <c r="B71" s="278"/>
      <c r="C71" s="278"/>
      <c r="D71" s="278"/>
      <c r="E71" s="278"/>
      <c r="F71" s="278"/>
      <c r="G71" s="278"/>
      <c r="H71" s="154"/>
      <c r="I71" s="154"/>
      <c r="J71" s="154"/>
      <c r="K71" s="154"/>
      <c r="L71" s="154"/>
      <c r="M71" s="154"/>
      <c r="N71" s="154"/>
      <c r="O71" s="154"/>
      <c r="P71" s="154"/>
      <c r="Q71" s="154"/>
      <c r="R71" s="154"/>
      <c r="S71" s="154"/>
      <c r="T71" s="154"/>
      <c r="U71" s="154"/>
    </row>
    <row r="72" spans="1:21" s="1" customFormat="1" x14ac:dyDescent="0.2">
      <c r="A72" s="154"/>
      <c r="B72" s="278"/>
      <c r="C72" s="278"/>
      <c r="D72" s="278"/>
      <c r="E72" s="278"/>
      <c r="F72" s="278"/>
      <c r="G72" s="278"/>
      <c r="H72" s="154"/>
      <c r="I72" s="154"/>
      <c r="J72" s="154"/>
      <c r="K72" s="154"/>
      <c r="L72" s="154"/>
      <c r="M72" s="154"/>
      <c r="N72" s="154"/>
      <c r="O72" s="154"/>
      <c r="P72" s="154"/>
      <c r="Q72" s="154"/>
      <c r="R72" s="154"/>
      <c r="S72" s="154"/>
      <c r="T72" s="154"/>
      <c r="U72" s="154"/>
    </row>
    <row r="73" spans="1:21" s="1" customFormat="1" x14ac:dyDescent="0.2">
      <c r="A73" s="154"/>
      <c r="B73" s="278"/>
      <c r="C73" s="278"/>
      <c r="D73" s="278"/>
      <c r="E73" s="278"/>
      <c r="F73" s="278"/>
      <c r="G73" s="278"/>
      <c r="H73" s="154"/>
      <c r="I73" s="154"/>
      <c r="J73" s="154"/>
      <c r="K73" s="154"/>
      <c r="L73" s="154"/>
      <c r="M73" s="154"/>
      <c r="N73" s="154"/>
      <c r="O73" s="154"/>
      <c r="P73" s="154"/>
      <c r="Q73" s="154"/>
      <c r="R73" s="154"/>
      <c r="S73" s="154"/>
      <c r="T73" s="154"/>
      <c r="U73" s="154"/>
    </row>
    <row r="74" spans="1:21" s="1" customFormat="1" x14ac:dyDescent="0.2">
      <c r="A74" s="154"/>
      <c r="B74" s="278"/>
      <c r="C74" s="278"/>
      <c r="D74" s="278"/>
      <c r="E74" s="278"/>
      <c r="F74" s="278"/>
      <c r="G74" s="278"/>
      <c r="H74" s="154"/>
      <c r="I74" s="154"/>
      <c r="J74" s="154"/>
      <c r="K74" s="154"/>
      <c r="L74" s="154"/>
      <c r="M74" s="154"/>
      <c r="N74" s="154"/>
      <c r="O74" s="154"/>
      <c r="P74" s="154"/>
      <c r="Q74" s="154"/>
      <c r="R74" s="154"/>
      <c r="S74" s="154"/>
      <c r="T74" s="154"/>
      <c r="U74" s="154"/>
    </row>
    <row r="75" spans="1:21" s="1" customFormat="1" x14ac:dyDescent="0.2">
      <c r="A75" s="154"/>
      <c r="B75" s="278"/>
      <c r="C75" s="278"/>
      <c r="D75" s="278"/>
      <c r="E75" s="278"/>
      <c r="F75" s="278"/>
      <c r="G75" s="278"/>
      <c r="H75" s="154"/>
      <c r="I75" s="154"/>
      <c r="J75" s="154"/>
      <c r="K75" s="154"/>
      <c r="L75" s="154"/>
      <c r="M75" s="154"/>
      <c r="N75" s="154"/>
      <c r="O75" s="154"/>
      <c r="P75" s="154"/>
      <c r="Q75" s="154"/>
      <c r="R75" s="154"/>
      <c r="S75" s="154"/>
      <c r="T75" s="154"/>
      <c r="U75" s="154"/>
    </row>
    <row r="76" spans="1:21" s="1" customFormat="1" x14ac:dyDescent="0.2">
      <c r="A76" s="154"/>
      <c r="B76" s="278"/>
      <c r="C76" s="278"/>
      <c r="D76" s="278"/>
      <c r="E76" s="278"/>
      <c r="F76" s="278"/>
      <c r="G76" s="278"/>
      <c r="H76" s="154"/>
      <c r="I76" s="154"/>
      <c r="J76" s="154"/>
      <c r="K76" s="154"/>
      <c r="L76" s="154"/>
      <c r="M76" s="154"/>
      <c r="N76" s="154"/>
      <c r="O76" s="154"/>
      <c r="P76" s="154"/>
      <c r="Q76" s="154"/>
      <c r="R76" s="154"/>
      <c r="S76" s="154"/>
      <c r="T76" s="154"/>
      <c r="U76" s="154"/>
    </row>
    <row r="77" spans="1:21" s="1" customFormat="1" x14ac:dyDescent="0.2">
      <c r="A77" s="154"/>
      <c r="B77" s="278"/>
      <c r="C77" s="278"/>
      <c r="D77" s="278"/>
      <c r="E77" s="278"/>
      <c r="F77" s="278"/>
      <c r="G77" s="278"/>
      <c r="H77" s="154"/>
      <c r="I77" s="154"/>
      <c r="J77" s="154"/>
      <c r="K77" s="154"/>
      <c r="L77" s="154"/>
      <c r="M77" s="154"/>
      <c r="N77" s="154"/>
      <c r="O77" s="154"/>
      <c r="P77" s="154"/>
      <c r="Q77" s="154"/>
      <c r="R77" s="154"/>
      <c r="S77" s="154"/>
      <c r="T77" s="154"/>
      <c r="U77" s="154"/>
    </row>
    <row r="78" spans="1:21" x14ac:dyDescent="0.2">
      <c r="B78" s="278"/>
      <c r="C78" s="278"/>
      <c r="D78" s="278"/>
      <c r="E78" s="278"/>
      <c r="F78" s="278"/>
      <c r="G78" s="278"/>
    </row>
    <row r="79" spans="1:21" x14ac:dyDescent="0.2">
      <c r="B79" s="278"/>
      <c r="C79" s="278"/>
      <c r="D79" s="278"/>
      <c r="E79" s="278"/>
      <c r="F79" s="278"/>
      <c r="G79" s="278"/>
    </row>
    <row r="80" spans="1:21" x14ac:dyDescent="0.2">
      <c r="B80" s="278"/>
      <c r="C80" s="278"/>
      <c r="D80" s="278"/>
      <c r="E80" s="278"/>
      <c r="F80" s="278"/>
      <c r="G80" s="278"/>
    </row>
    <row r="81" spans="1:8" x14ac:dyDescent="0.2">
      <c r="B81" s="278"/>
      <c r="C81" s="278"/>
      <c r="D81" s="278"/>
      <c r="E81" s="278"/>
      <c r="F81" s="278"/>
      <c r="G81" s="278"/>
    </row>
    <row r="82" spans="1:8" x14ac:dyDescent="0.2">
      <c r="B82" s="278"/>
      <c r="C82" s="278"/>
      <c r="D82" s="278"/>
      <c r="E82" s="278"/>
      <c r="F82" s="278"/>
      <c r="G82" s="278"/>
    </row>
    <row r="83" spans="1:8" x14ac:dyDescent="0.2">
      <c r="B83" s="278"/>
      <c r="C83" s="278"/>
      <c r="D83" s="278"/>
      <c r="E83" s="278"/>
      <c r="F83" s="278"/>
      <c r="G83" s="278"/>
    </row>
    <row r="84" spans="1:8" x14ac:dyDescent="0.2">
      <c r="B84" s="278"/>
      <c r="C84" s="278"/>
      <c r="D84" s="278"/>
      <c r="E84" s="278"/>
      <c r="F84" s="278"/>
      <c r="G84" s="278"/>
    </row>
    <row r="85" spans="1:8" x14ac:dyDescent="0.2">
      <c r="B85" s="278"/>
      <c r="C85" s="278"/>
      <c r="D85" s="278"/>
      <c r="E85" s="278"/>
      <c r="F85" s="278"/>
      <c r="G85" s="278"/>
    </row>
    <row r="86" spans="1:8" x14ac:dyDescent="0.2">
      <c r="B86" s="155"/>
      <c r="C86" s="155"/>
      <c r="D86" s="155"/>
      <c r="E86" s="155"/>
      <c r="F86" s="155"/>
      <c r="G86" s="155"/>
    </row>
    <row r="87" spans="1:8" x14ac:dyDescent="0.2">
      <c r="B87" s="155"/>
      <c r="C87" s="155"/>
      <c r="D87" s="155"/>
      <c r="E87" s="155"/>
      <c r="F87" s="155"/>
      <c r="G87" s="155"/>
    </row>
    <row r="88" spans="1:8" ht="15" thickBot="1" x14ac:dyDescent="0.25">
      <c r="A88" s="169"/>
      <c r="B88" s="169"/>
      <c r="C88" s="169"/>
      <c r="D88" s="169"/>
      <c r="E88" s="169"/>
      <c r="F88" s="169"/>
      <c r="G88" s="169"/>
      <c r="H88" s="169"/>
    </row>
    <row r="89" spans="1:8" x14ac:dyDescent="0.2">
      <c r="B89" s="155"/>
      <c r="C89" s="155"/>
      <c r="D89" s="155"/>
      <c r="E89" s="155"/>
      <c r="F89" s="155"/>
      <c r="G89" s="155"/>
    </row>
    <row r="90" spans="1:8" ht="15" x14ac:dyDescent="0.2">
      <c r="B90" s="156" t="s">
        <v>553</v>
      </c>
      <c r="C90" s="155"/>
      <c r="D90" s="155"/>
      <c r="E90" s="155"/>
      <c r="F90" s="155"/>
      <c r="G90" s="155"/>
    </row>
    <row r="91" spans="1:8" x14ac:dyDescent="0.2">
      <c r="B91" s="157" t="s">
        <v>466</v>
      </c>
      <c r="C91" s="155"/>
      <c r="D91" s="155"/>
      <c r="E91" s="155"/>
      <c r="F91" s="155"/>
      <c r="G91" s="155"/>
    </row>
    <row r="92" spans="1:8" x14ac:dyDescent="0.2">
      <c r="B92" s="159" t="s">
        <v>469</v>
      </c>
      <c r="C92" s="155"/>
      <c r="D92" s="155"/>
      <c r="E92" s="155"/>
      <c r="F92" s="155"/>
      <c r="G92" s="155"/>
    </row>
    <row r="93" spans="1:8" x14ac:dyDescent="0.2">
      <c r="B93" s="160" t="s">
        <v>467</v>
      </c>
      <c r="C93" s="155"/>
      <c r="D93" s="155"/>
      <c r="E93" s="155"/>
      <c r="F93" s="155"/>
      <c r="G93" s="155"/>
    </row>
    <row r="94" spans="1:8" s="169" customFormat="1" ht="15" thickBot="1" x14ac:dyDescent="0.25"/>
    <row r="95" spans="1:8" s="155" customFormat="1" x14ac:dyDescent="0.2"/>
    <row r="96" spans="1:8" ht="20.25" x14ac:dyDescent="0.2">
      <c r="A96" s="162"/>
      <c r="B96" s="162" t="s">
        <v>50</v>
      </c>
      <c r="C96" s="154"/>
      <c r="D96" s="154"/>
      <c r="E96" s="154"/>
      <c r="F96" s="154"/>
      <c r="G96" s="154"/>
      <c r="H96" s="154"/>
    </row>
    <row r="97" spans="1:8" ht="20.25" x14ac:dyDescent="0.2">
      <c r="A97" s="162"/>
      <c r="B97" s="154" t="s">
        <v>45</v>
      </c>
      <c r="C97" s="154"/>
      <c r="D97" s="154"/>
      <c r="E97" s="154"/>
      <c r="F97" s="154"/>
      <c r="G97" s="154"/>
      <c r="H97" s="154"/>
    </row>
    <row r="98" spans="1:8" ht="20.25" x14ac:dyDescent="0.2">
      <c r="A98" s="162"/>
      <c r="B98" s="154"/>
      <c r="C98" s="154"/>
      <c r="D98" s="154"/>
      <c r="E98" s="154"/>
      <c r="F98" s="154"/>
      <c r="G98" s="154"/>
      <c r="H98" s="154"/>
    </row>
    <row r="99" spans="1:8" ht="31.5" x14ac:dyDescent="0.2">
      <c r="A99" s="162"/>
      <c r="B99" s="16" t="s">
        <v>58</v>
      </c>
      <c r="C99" s="16" t="s">
        <v>455</v>
      </c>
      <c r="D99" s="16" t="s">
        <v>59</v>
      </c>
      <c r="E99" s="16" t="s">
        <v>60</v>
      </c>
      <c r="F99" s="148" t="s">
        <v>61</v>
      </c>
      <c r="G99" s="148" t="s">
        <v>576</v>
      </c>
      <c r="H99" s="154"/>
    </row>
    <row r="100" spans="1:8" ht="20.25" x14ac:dyDescent="0.2">
      <c r="A100" s="162"/>
      <c r="B100" s="25" t="s">
        <v>452</v>
      </c>
      <c r="C100" s="150" t="s">
        <v>26</v>
      </c>
      <c r="D100" s="151" t="str">
        <f>IF(Overview!$C$15="","",Overview!$C$15)</f>
        <v>2019-20</v>
      </c>
      <c r="E100" s="55">
        <v>5230006.5999999987</v>
      </c>
      <c r="F100" s="127">
        <f>IFERROR(VLOOKUP(Overview!$C$15,'GHG Emission Factors'!$B:$DJ,43,0),"")</f>
        <v>0.25559999999999999</v>
      </c>
      <c r="G100" s="153">
        <f t="shared" ref="G100" si="3">IF(E100="","Enter Consumption Figure",(E100*F100)/1000)</f>
        <v>1336.7896869599997</v>
      </c>
      <c r="H100" s="154"/>
    </row>
    <row r="101" spans="1:8" x14ac:dyDescent="0.2">
      <c r="B101" s="155"/>
      <c r="C101" s="155"/>
      <c r="D101" s="155"/>
      <c r="E101" s="155"/>
      <c r="F101" s="155"/>
      <c r="G101" s="155"/>
    </row>
    <row r="102" spans="1:8" x14ac:dyDescent="0.2">
      <c r="B102" s="155"/>
      <c r="C102" s="155"/>
      <c r="D102" s="155"/>
      <c r="E102" s="155"/>
      <c r="F102" s="155"/>
      <c r="G102" s="155"/>
    </row>
    <row r="103" spans="1:8" x14ac:dyDescent="0.2">
      <c r="B103" s="155"/>
      <c r="C103" s="155"/>
      <c r="D103" s="155"/>
      <c r="E103" s="155"/>
      <c r="F103" s="155"/>
      <c r="G103" s="155"/>
    </row>
    <row r="104" spans="1:8" ht="15" x14ac:dyDescent="0.2">
      <c r="B104" s="154" t="s">
        <v>570</v>
      </c>
      <c r="C104" s="168"/>
      <c r="D104" s="168"/>
      <c r="E104" s="168"/>
      <c r="F104" s="168"/>
      <c r="G104" s="168"/>
    </row>
    <row r="105" spans="1:8" x14ac:dyDescent="0.2">
      <c r="B105" s="278" t="s">
        <v>743</v>
      </c>
      <c r="C105" s="278"/>
      <c r="D105" s="278"/>
      <c r="E105" s="278"/>
      <c r="F105" s="278"/>
      <c r="G105" s="278"/>
    </row>
    <row r="106" spans="1:8" x14ac:dyDescent="0.2">
      <c r="B106" s="278"/>
      <c r="C106" s="278"/>
      <c r="D106" s="278"/>
      <c r="E106" s="278"/>
      <c r="F106" s="278"/>
      <c r="G106" s="278"/>
    </row>
    <row r="107" spans="1:8" x14ac:dyDescent="0.2">
      <c r="B107" s="278"/>
      <c r="C107" s="278"/>
      <c r="D107" s="278"/>
      <c r="E107" s="278"/>
      <c r="F107" s="278"/>
      <c r="G107" s="278"/>
    </row>
    <row r="108" spans="1:8" x14ac:dyDescent="0.2">
      <c r="B108" s="278"/>
      <c r="C108" s="278"/>
      <c r="D108" s="278"/>
      <c r="E108" s="278"/>
      <c r="F108" s="278"/>
      <c r="G108" s="278"/>
    </row>
    <row r="109" spans="1:8" x14ac:dyDescent="0.2">
      <c r="B109" s="278"/>
      <c r="C109" s="278"/>
      <c r="D109" s="278"/>
      <c r="E109" s="278"/>
      <c r="F109" s="278"/>
      <c r="G109" s="278"/>
    </row>
    <row r="110" spans="1:8" x14ac:dyDescent="0.2">
      <c r="B110" s="278"/>
      <c r="C110" s="278"/>
      <c r="D110" s="278"/>
      <c r="E110" s="278"/>
      <c r="F110" s="278"/>
      <c r="G110" s="278"/>
    </row>
    <row r="111" spans="1:8" x14ac:dyDescent="0.2">
      <c r="B111" s="278"/>
      <c r="C111" s="278"/>
      <c r="D111" s="278"/>
      <c r="E111" s="278"/>
      <c r="F111" s="278"/>
      <c r="G111" s="278"/>
    </row>
    <row r="112" spans="1:8" x14ac:dyDescent="0.2">
      <c r="B112" s="278"/>
      <c r="C112" s="278"/>
      <c r="D112" s="278"/>
      <c r="E112" s="278"/>
      <c r="F112" s="278"/>
      <c r="G112" s="278"/>
    </row>
    <row r="113" spans="2:7" x14ac:dyDescent="0.2">
      <c r="B113" s="278"/>
      <c r="C113" s="278"/>
      <c r="D113" s="278"/>
      <c r="E113" s="278"/>
      <c r="F113" s="278"/>
      <c r="G113" s="278"/>
    </row>
    <row r="114" spans="2:7" x14ac:dyDescent="0.2">
      <c r="B114" s="278"/>
      <c r="C114" s="278"/>
      <c r="D114" s="278"/>
      <c r="E114" s="278"/>
      <c r="F114" s="278"/>
      <c r="G114" s="278"/>
    </row>
    <row r="115" spans="2:7" x14ac:dyDescent="0.2">
      <c r="B115" s="278"/>
      <c r="C115" s="278"/>
      <c r="D115" s="278"/>
      <c r="E115" s="278"/>
      <c r="F115" s="278"/>
      <c r="G115" s="278"/>
    </row>
    <row r="116" spans="2:7" x14ac:dyDescent="0.2">
      <c r="B116" s="278"/>
      <c r="C116" s="278"/>
      <c r="D116" s="278"/>
      <c r="E116" s="278"/>
      <c r="F116" s="278"/>
      <c r="G116" s="278"/>
    </row>
    <row r="117" spans="2:7" x14ac:dyDescent="0.2">
      <c r="B117" s="278"/>
      <c r="C117" s="278"/>
      <c r="D117" s="278"/>
      <c r="E117" s="278"/>
      <c r="F117" s="278"/>
      <c r="G117" s="278"/>
    </row>
    <row r="118" spans="2:7" x14ac:dyDescent="0.2">
      <c r="B118" s="278"/>
      <c r="C118" s="278"/>
      <c r="D118" s="278"/>
      <c r="E118" s="278"/>
      <c r="F118" s="278"/>
      <c r="G118" s="278"/>
    </row>
    <row r="119" spans="2:7" x14ac:dyDescent="0.2">
      <c r="B119" s="278"/>
      <c r="C119" s="278"/>
      <c r="D119" s="278"/>
      <c r="E119" s="278"/>
      <c r="F119" s="278"/>
      <c r="G119" s="278"/>
    </row>
    <row r="120" spans="2:7" x14ac:dyDescent="0.2">
      <c r="B120" s="278"/>
      <c r="C120" s="278"/>
      <c r="D120" s="278"/>
      <c r="E120" s="278"/>
      <c r="F120" s="278"/>
      <c r="G120" s="278"/>
    </row>
    <row r="121" spans="2:7" x14ac:dyDescent="0.2">
      <c r="B121" s="278"/>
      <c r="C121" s="278"/>
      <c r="D121" s="278"/>
      <c r="E121" s="278"/>
      <c r="F121" s="278"/>
      <c r="G121" s="278"/>
    </row>
    <row r="122" spans="2:7" x14ac:dyDescent="0.2">
      <c r="B122" s="278"/>
      <c r="C122" s="278"/>
      <c r="D122" s="278"/>
      <c r="E122" s="278"/>
      <c r="F122" s="278"/>
      <c r="G122" s="278"/>
    </row>
    <row r="123" spans="2:7" x14ac:dyDescent="0.2">
      <c r="B123" s="278"/>
      <c r="C123" s="278"/>
      <c r="D123" s="278"/>
      <c r="E123" s="278"/>
      <c r="F123" s="278"/>
      <c r="G123" s="278"/>
    </row>
    <row r="124" spans="2:7" x14ac:dyDescent="0.2">
      <c r="B124" s="278"/>
      <c r="C124" s="278"/>
      <c r="D124" s="278"/>
      <c r="E124" s="278"/>
      <c r="F124" s="278"/>
      <c r="G124" s="278"/>
    </row>
    <row r="125" spans="2:7" x14ac:dyDescent="0.2">
      <c r="B125" s="278"/>
      <c r="C125" s="278"/>
      <c r="D125" s="278"/>
      <c r="E125" s="278"/>
      <c r="F125" s="278"/>
      <c r="G125" s="278"/>
    </row>
    <row r="126" spans="2:7" x14ac:dyDescent="0.2">
      <c r="B126" s="278"/>
      <c r="C126" s="278"/>
      <c r="D126" s="278"/>
      <c r="E126" s="278"/>
      <c r="F126" s="278"/>
      <c r="G126" s="278"/>
    </row>
    <row r="127" spans="2:7" x14ac:dyDescent="0.2">
      <c r="B127" s="155"/>
      <c r="C127" s="155"/>
      <c r="D127" s="155"/>
      <c r="E127" s="155"/>
      <c r="F127" s="155"/>
      <c r="G127" s="155"/>
    </row>
    <row r="128" spans="2:7" x14ac:dyDescent="0.2">
      <c r="B128" s="155"/>
      <c r="C128" s="155"/>
      <c r="D128" s="155"/>
      <c r="E128" s="155"/>
      <c r="F128" s="155"/>
      <c r="G128" s="155"/>
    </row>
    <row r="129" spans="2:7" x14ac:dyDescent="0.2">
      <c r="B129" s="155"/>
      <c r="C129" s="155"/>
      <c r="D129" s="155"/>
      <c r="E129" s="155"/>
      <c r="F129" s="155"/>
      <c r="G129" s="155"/>
    </row>
    <row r="130" spans="2:7" ht="15" x14ac:dyDescent="0.2">
      <c r="B130" s="156" t="s">
        <v>553</v>
      </c>
      <c r="C130" s="154"/>
      <c r="D130" s="154"/>
      <c r="E130" s="154"/>
      <c r="F130" s="155"/>
      <c r="G130" s="155"/>
    </row>
    <row r="131" spans="2:7" x14ac:dyDescent="0.2">
      <c r="B131" s="157" t="s">
        <v>466</v>
      </c>
      <c r="C131" s="154"/>
      <c r="D131" s="154"/>
      <c r="E131" s="154"/>
      <c r="F131" s="155"/>
      <c r="G131" s="155"/>
    </row>
    <row r="132" spans="2:7" x14ac:dyDescent="0.2">
      <c r="B132" s="159" t="s">
        <v>469</v>
      </c>
      <c r="C132" s="154"/>
      <c r="D132" s="154"/>
      <c r="E132" s="154"/>
      <c r="F132" s="155"/>
      <c r="G132" s="155"/>
    </row>
    <row r="133" spans="2:7" x14ac:dyDescent="0.2">
      <c r="B133" s="160" t="s">
        <v>467</v>
      </c>
      <c r="C133" s="155"/>
      <c r="D133" s="155"/>
      <c r="E133" s="155"/>
      <c r="F133" s="155"/>
      <c r="G133" s="155"/>
    </row>
    <row r="134" spans="2:7" ht="15" thickBot="1" x14ac:dyDescent="0.25">
      <c r="B134" s="170"/>
      <c r="C134" s="170"/>
      <c r="D134" s="170"/>
      <c r="E134" s="170"/>
      <c r="F134" s="170"/>
      <c r="G134" s="170"/>
    </row>
    <row r="135" spans="2:7" x14ac:dyDescent="0.2">
      <c r="B135" s="154"/>
      <c r="C135" s="154"/>
      <c r="D135" s="154"/>
      <c r="E135" s="154"/>
      <c r="F135" s="154"/>
      <c r="G135" s="154"/>
    </row>
    <row r="136" spans="2:7" ht="20.25" x14ac:dyDescent="0.2">
      <c r="B136" s="162" t="s">
        <v>46</v>
      </c>
      <c r="C136" s="154"/>
      <c r="D136" s="154"/>
      <c r="E136" s="154"/>
      <c r="F136" s="154"/>
      <c r="G136" s="154"/>
    </row>
    <row r="137" spans="2:7" x14ac:dyDescent="0.2">
      <c r="B137" s="154" t="s">
        <v>539</v>
      </c>
      <c r="C137" s="154"/>
      <c r="D137" s="154"/>
      <c r="E137" s="154"/>
      <c r="F137" s="154"/>
      <c r="G137" s="154"/>
    </row>
    <row r="138" spans="2:7" x14ac:dyDescent="0.2">
      <c r="B138" s="154"/>
      <c r="C138" s="154"/>
      <c r="D138" s="154"/>
      <c r="E138" s="154"/>
      <c r="F138" s="154"/>
      <c r="G138" s="154"/>
    </row>
    <row r="139" spans="2:7" ht="45" x14ac:dyDescent="0.2">
      <c r="B139" s="148" t="s">
        <v>509</v>
      </c>
      <c r="C139" s="16" t="s">
        <v>455</v>
      </c>
      <c r="D139" s="16" t="s">
        <v>59</v>
      </c>
      <c r="E139" s="16" t="s">
        <v>60</v>
      </c>
      <c r="F139" s="148" t="s">
        <v>61</v>
      </c>
      <c r="G139" s="148" t="s">
        <v>576</v>
      </c>
    </row>
    <row r="140" spans="2:7" ht="28.5" x14ac:dyDescent="0.2">
      <c r="B140" s="149" t="s">
        <v>520</v>
      </c>
      <c r="C140" s="150" t="s">
        <v>25</v>
      </c>
      <c r="D140" s="151" t="str">
        <f>IF(Overview!$C$15="","",Overview!$C$15)</f>
        <v>2019-20</v>
      </c>
      <c r="E140" s="55"/>
      <c r="F140" s="152">
        <f>IFERROR(VLOOKUP(Overview!$C$15,'GHG Emission Factors'!$B:$DJ,56,0),"")</f>
        <v>0.13591</v>
      </c>
      <c r="G140" s="153" t="str">
        <f>IF(E140="","Enter Consumption Figure",(E140*F140)/1000)</f>
        <v>Enter Consumption Figure</v>
      </c>
    </row>
    <row r="141" spans="2:7" x14ac:dyDescent="0.2">
      <c r="B141" s="149" t="s">
        <v>600</v>
      </c>
      <c r="C141" s="150" t="s">
        <v>25</v>
      </c>
      <c r="D141" s="151" t="str">
        <f>IF(Overview!$C$15="","",Overview!$C$15)</f>
        <v>2019-20</v>
      </c>
      <c r="E141" s="55"/>
      <c r="F141" s="152">
        <f>IFERROR(VLOOKUP(Overview!$C$15,'GHG Emission Factors'!$B:$DJ,57,0),"")</f>
        <v>0.16559000000000001</v>
      </c>
      <c r="G141" s="153" t="str">
        <f t="shared" ref="G141:G152" si="4">IF(E141="","Enter Consumption Figure",(E141*F141)/1000)</f>
        <v>Enter Consumption Figure</v>
      </c>
    </row>
    <row r="142" spans="2:7" x14ac:dyDescent="0.2">
      <c r="B142" s="25" t="s">
        <v>601</v>
      </c>
      <c r="C142" s="150" t="s">
        <v>25</v>
      </c>
      <c r="D142" s="151" t="str">
        <f>IF(Overview!$C$15="","",Overview!$C$15)</f>
        <v>2019-20</v>
      </c>
      <c r="E142" s="55"/>
      <c r="F142" s="152">
        <f>IFERROR(VLOOKUP(Overview!$C$15,'GHG Emission Factors'!$B:$DJ,58,0),"")</f>
        <v>0.28502</v>
      </c>
      <c r="G142" s="153" t="str">
        <f t="shared" si="4"/>
        <v>Enter Consumption Figure</v>
      </c>
    </row>
    <row r="143" spans="2:7" x14ac:dyDescent="0.2">
      <c r="B143" s="25" t="s">
        <v>517</v>
      </c>
      <c r="C143" s="150" t="s">
        <v>25</v>
      </c>
      <c r="D143" s="151" t="str">
        <f>IF(Overview!$C$15="","",Overview!$C$15)</f>
        <v>2019-20</v>
      </c>
      <c r="E143" s="55"/>
      <c r="F143" s="152">
        <f>IFERROR(VLOOKUP(Overview!$C$15,'GHG Emission Factors'!$B:$DJ,59,0),"")</f>
        <v>0.24736</v>
      </c>
      <c r="G143" s="153" t="str">
        <f t="shared" si="4"/>
        <v>Enter Consumption Figure</v>
      </c>
    </row>
    <row r="144" spans="2:7" x14ac:dyDescent="0.2">
      <c r="B144" s="25" t="s">
        <v>521</v>
      </c>
      <c r="C144" s="150" t="s">
        <v>25</v>
      </c>
      <c r="D144" s="151" t="str">
        <f>IF(Overview!$C$15="","",Overview!$C$15)</f>
        <v>2019-20</v>
      </c>
      <c r="E144" s="55"/>
      <c r="F144" s="152">
        <f>IFERROR(VLOOKUP(Overview!$C$15,'GHG Emission Factors'!$B:$DJ,60,0),"")</f>
        <v>0.30945</v>
      </c>
      <c r="G144" s="153" t="str">
        <f t="shared" si="4"/>
        <v>Enter Consumption Figure</v>
      </c>
    </row>
    <row r="145" spans="2:8" x14ac:dyDescent="0.2">
      <c r="B145" s="25" t="s">
        <v>522</v>
      </c>
      <c r="C145" s="150" t="s">
        <v>25</v>
      </c>
      <c r="D145" s="151" t="str">
        <f>IF(Overview!$C$15="","",Overview!$C$15)</f>
        <v>2019-20</v>
      </c>
      <c r="E145" s="55"/>
      <c r="F145" s="152">
        <f>IFERROR(VLOOKUP(Overview!$C$15,'GHG Emission Factors'!$B:$DJ,61,0),"")</f>
        <v>0.45535999999999999</v>
      </c>
      <c r="G145" s="153" t="str">
        <f t="shared" si="4"/>
        <v>Enter Consumption Figure</v>
      </c>
    </row>
    <row r="146" spans="2:8" x14ac:dyDescent="0.2">
      <c r="B146" s="25" t="s">
        <v>602</v>
      </c>
      <c r="C146" s="150" t="s">
        <v>25</v>
      </c>
      <c r="D146" s="151" t="str">
        <f>IF(Overview!$C$15="","",Overview!$C$15)</f>
        <v>2019-20</v>
      </c>
      <c r="E146" s="55"/>
      <c r="F146" s="152">
        <f>IFERROR(VLOOKUP(Overview!$C$15,'GHG Emission Factors'!$B:$DJ,62,0),"")</f>
        <v>0.22868000000000002</v>
      </c>
      <c r="G146" s="153" t="str">
        <f>IF(E146="","Enter Consumption Figure",(E146*F146)/1000)</f>
        <v>Enter Consumption Figure</v>
      </c>
    </row>
    <row r="147" spans="2:8" x14ac:dyDescent="0.2">
      <c r="B147" s="25" t="s">
        <v>603</v>
      </c>
      <c r="C147" s="150" t="s">
        <v>25</v>
      </c>
      <c r="D147" s="151" t="str">
        <f>IF(Overview!$C$15="","",Overview!$C$15)</f>
        <v>2019-20</v>
      </c>
      <c r="E147" s="55"/>
      <c r="F147" s="152">
        <f>IFERROR(VLOOKUP(Overview!$C$15,'GHG Emission Factors'!$B:$DJ,63,0),"")</f>
        <v>0.27459</v>
      </c>
      <c r="G147" s="153" t="str">
        <f>IF(E147="","Enter Consumption Figure",(E147*F147)/1000)</f>
        <v>Enter Consumption Figure</v>
      </c>
    </row>
    <row r="148" spans="2:8" x14ac:dyDescent="0.2">
      <c r="B148" s="25" t="s">
        <v>519</v>
      </c>
      <c r="C148" s="150" t="s">
        <v>25</v>
      </c>
      <c r="D148" s="151" t="str">
        <f>IF(Overview!$C$15="","",Overview!$C$15)</f>
        <v>2019-20</v>
      </c>
      <c r="E148" s="55"/>
      <c r="F148" s="152">
        <f>IFERROR(VLOOKUP(Overview!$C$15,'GHG Emission Factors'!$B:$DJ,64,0),"")</f>
        <v>0.33712999999999999</v>
      </c>
      <c r="G148" s="153" t="str">
        <f>IF(E148="","Enter Consumption Figure",(E148*F148)/1000)</f>
        <v>Enter Consumption Figure</v>
      </c>
    </row>
    <row r="149" spans="2:8" x14ac:dyDescent="0.2">
      <c r="B149" s="25" t="s">
        <v>518</v>
      </c>
      <c r="C149" s="150" t="s">
        <v>25</v>
      </c>
      <c r="D149" s="151" t="str">
        <f>IF(Overview!$C$15="","",Overview!$C$15)</f>
        <v>2019-20</v>
      </c>
      <c r="E149" s="55"/>
      <c r="F149" s="152">
        <f>IFERROR(VLOOKUP(Overview!$C$15,'GHG Emission Factors'!$B:$DJ,65,0),"")</f>
        <v>0.16930000000000001</v>
      </c>
      <c r="G149" s="153" t="str">
        <f t="shared" si="4"/>
        <v>Enter Consumption Figure</v>
      </c>
    </row>
    <row r="150" spans="2:8" x14ac:dyDescent="0.2">
      <c r="B150" s="25" t="s">
        <v>544</v>
      </c>
      <c r="C150" s="150" t="s">
        <v>25</v>
      </c>
      <c r="D150" s="151" t="str">
        <f>IF(Overview!$C$15="","",Overview!$C$15)</f>
        <v>2019-20</v>
      </c>
      <c r="E150" s="55"/>
      <c r="F150" s="152">
        <f>IFERROR(VLOOKUP(Overview!$C$15,'GHG Emission Factors'!$B:$DJ,66,0),"")</f>
        <v>0.17534</v>
      </c>
      <c r="G150" s="153" t="str">
        <f t="shared" si="4"/>
        <v>Enter Consumption Figure</v>
      </c>
    </row>
    <row r="151" spans="2:8" x14ac:dyDescent="0.2">
      <c r="B151" s="25" t="s">
        <v>545</v>
      </c>
      <c r="C151" s="150" t="s">
        <v>25</v>
      </c>
      <c r="D151" s="151" t="str">
        <f>IF(Overview!$C$15="","",Overview!$C$15)</f>
        <v>2019-20</v>
      </c>
      <c r="E151" s="55"/>
      <c r="F151" s="152">
        <f>IFERROR(VLOOKUP(Overview!$C$15,'GHG Emission Factors'!$B:$DJ,67,0),"")</f>
        <v>0.21207000000000001</v>
      </c>
      <c r="G151" s="153" t="str">
        <f t="shared" si="4"/>
        <v>Enter Consumption Figure</v>
      </c>
    </row>
    <row r="152" spans="2:8" x14ac:dyDescent="0.2">
      <c r="B152" s="25" t="s">
        <v>542</v>
      </c>
      <c r="C152" s="150" t="s">
        <v>25</v>
      </c>
      <c r="D152" s="151" t="str">
        <f>IF(Overview!$C$15="","",Overview!$C$15)</f>
        <v>2019-20</v>
      </c>
      <c r="E152" s="55"/>
      <c r="F152" s="152">
        <f>IFERROR(VLOOKUP(Overview!$C$15,'GHG Emission Factors'!$B:$DJ,68,0),"")</f>
        <v>8.931E-2</v>
      </c>
      <c r="G152" s="153" t="str">
        <f t="shared" si="4"/>
        <v>Enter Consumption Figure</v>
      </c>
    </row>
    <row r="153" spans="2:8" x14ac:dyDescent="0.2">
      <c r="B153" s="155"/>
      <c r="C153" s="155"/>
      <c r="D153" s="155"/>
      <c r="E153" s="155"/>
      <c r="F153" s="155"/>
      <c r="G153" s="155"/>
    </row>
    <row r="154" spans="2:8" x14ac:dyDescent="0.2">
      <c r="B154" s="138" t="s">
        <v>712</v>
      </c>
      <c r="C154" s="155"/>
      <c r="D154" s="155"/>
      <c r="E154" s="155"/>
      <c r="F154" s="155"/>
      <c r="G154" s="155"/>
    </row>
    <row r="155" spans="2:8" x14ac:dyDescent="0.2">
      <c r="B155" s="155"/>
      <c r="C155" s="155"/>
      <c r="D155" s="155"/>
      <c r="E155" s="155"/>
      <c r="F155" s="155"/>
      <c r="G155" s="155"/>
    </row>
    <row r="156" spans="2:8" ht="31.5" x14ac:dyDescent="0.2">
      <c r="B156" s="16" t="s">
        <v>58</v>
      </c>
      <c r="C156" s="16" t="s">
        <v>455</v>
      </c>
      <c r="D156" s="16" t="s">
        <v>657</v>
      </c>
      <c r="E156" s="16" t="s">
        <v>59</v>
      </c>
      <c r="F156" s="16" t="s">
        <v>60</v>
      </c>
      <c r="G156" s="148" t="s">
        <v>61</v>
      </c>
      <c r="H156" s="148" t="s">
        <v>576</v>
      </c>
    </row>
    <row r="157" spans="2:8" x14ac:dyDescent="0.2">
      <c r="B157" s="25" t="s">
        <v>635</v>
      </c>
      <c r="C157" s="150" t="s">
        <v>636</v>
      </c>
      <c r="D157" s="125" t="s">
        <v>654</v>
      </c>
      <c r="E157" s="151" t="str">
        <f>IF(Overview!$C$15="","",Overview!$C$15)</f>
        <v>2019-20</v>
      </c>
      <c r="F157" s="55"/>
      <c r="G157" s="127">
        <f>IFERROR(VLOOKUP(Overview!$C$15,'GHG Emission Factors'!$B:$DJ,73,0),"")</f>
        <v>4060.1635999999999</v>
      </c>
      <c r="H157" s="153" t="str">
        <f t="shared" ref="H157:H162" si="5">IF(F157="","Enter Consumption Figure",(F157*G157)/1000)</f>
        <v>Enter Consumption Figure</v>
      </c>
    </row>
    <row r="158" spans="2:8" x14ac:dyDescent="0.2">
      <c r="B158" s="25" t="s">
        <v>637</v>
      </c>
      <c r="C158" s="150" t="s">
        <v>636</v>
      </c>
      <c r="D158" s="125" t="s">
        <v>654</v>
      </c>
      <c r="E158" s="151" t="str">
        <f>IF(Overview!$C$15="","",Overview!$C$15)</f>
        <v>2019-20</v>
      </c>
      <c r="F158" s="55"/>
      <c r="G158" s="127" t="str">
        <f>IFERROR(VLOOKUP(Overview!$C$15,'GHG Emission Factors'!$B:$DJ,74,0),"")</f>
        <v>Unavailable</v>
      </c>
      <c r="H158" s="153" t="str">
        <f t="shared" si="5"/>
        <v>Enter Consumption Figure</v>
      </c>
    </row>
    <row r="159" spans="2:8" x14ac:dyDescent="0.2">
      <c r="B159" s="25" t="s">
        <v>638</v>
      </c>
      <c r="C159" s="150" t="s">
        <v>636</v>
      </c>
      <c r="D159" s="18" t="s">
        <v>654</v>
      </c>
      <c r="E159" s="151" t="str">
        <f>IF(Overview!$C$15="","",Overview!$C$15)</f>
        <v>2019-20</v>
      </c>
      <c r="F159" s="55"/>
      <c r="G159" s="127">
        <f>IF(D159="Primary Material Production",VLOOKUP(Overview!$C$15,'GHG Emission Factors'!$B:$DJ,75,0),IF(D159="Open-Loop Source",VLOOKUP(Overview!$C$15,'GHG Emission Factors'!$B:$DJ,76,0),IF(D159="Closed-loop Source",VLOOKUP(Overview!$C$15,'GHG Emission Factors'!$B:$DJ,77,0),0)))</f>
        <v>3116.0562</v>
      </c>
      <c r="H159" s="153" t="str">
        <f t="shared" si="5"/>
        <v>Enter Consumption Figure</v>
      </c>
    </row>
    <row r="160" spans="2:8" x14ac:dyDescent="0.2">
      <c r="B160" s="25" t="s">
        <v>639</v>
      </c>
      <c r="C160" s="150" t="s">
        <v>636</v>
      </c>
      <c r="D160" s="18" t="s">
        <v>462</v>
      </c>
      <c r="E160" s="151" t="str">
        <f>IF(Overview!$C$15="","",Overview!$C$15)</f>
        <v>2019-20</v>
      </c>
      <c r="F160" s="55"/>
      <c r="G160" s="127">
        <f>IF(D160="Primary Material Production",VLOOKUP(Overview!$C$15,'GHG Emission Factors'!$B:$DJ,78,0),IF(D160="Open-Loop Source",VLOOKUP(Overview!$C$15,'GHG Emission Factors'!$B:$DJ,79,0),IF(D160="Closed-loop Source",VLOOKUP(Overview!$C$15,'GHG Emission Factors'!$B:$DJ,80,0),0)))</f>
        <v>0</v>
      </c>
      <c r="H160" s="153" t="str">
        <f t="shared" si="5"/>
        <v>Enter Consumption Figure</v>
      </c>
    </row>
    <row r="161" spans="2:8" x14ac:dyDescent="0.2">
      <c r="B161" s="25" t="s">
        <v>640</v>
      </c>
      <c r="C161" s="150" t="s">
        <v>636</v>
      </c>
      <c r="D161" s="18" t="s">
        <v>462</v>
      </c>
      <c r="E161" s="151" t="str">
        <f>IF(Overview!$C$15="","",Overview!$C$15)</f>
        <v>2019-20</v>
      </c>
      <c r="F161" s="55"/>
      <c r="G161" s="127">
        <f>IF(D161="Primary Material Production",VLOOKUP(Overview!$C$15,'GHG Emission Factors'!$B:$DJ,81,0),IF(D161="Open-Loop Source",VLOOKUP(Overview!$C$15,'GHG Emission Factors'!$B:$DJ,82,0),IF(D161="Closed-loop Source",VLOOKUP(Overview!$C$15,'GHG Emission Factors'!$B:$DJ,83,0),0)))</f>
        <v>0</v>
      </c>
      <c r="H161" s="153" t="str">
        <f t="shared" si="5"/>
        <v>Enter Consumption Figure</v>
      </c>
    </row>
    <row r="162" spans="2:8" x14ac:dyDescent="0.2">
      <c r="B162" s="25" t="s">
        <v>641</v>
      </c>
      <c r="C162" s="150" t="s">
        <v>636</v>
      </c>
      <c r="D162" s="18" t="s">
        <v>462</v>
      </c>
      <c r="E162" s="151" t="str">
        <f>IF(Overview!$C$15="","",Overview!$C$15)</f>
        <v>2019-20</v>
      </c>
      <c r="F162" s="55"/>
      <c r="G162" s="127">
        <f>IF(D162="Primary Material Production",VLOOKUP(Overview!$C$15,'GHG Emission Factors'!$B:$DJ,84,0),IF(D162="Closed-loop Source",VLOOKUP(Overview!$C$15,'GHG Emission Factors'!$B:$DJ,85,0),0))</f>
        <v>0</v>
      </c>
      <c r="H162" s="153" t="str">
        <f t="shared" si="5"/>
        <v>Enter Consumption Figure</v>
      </c>
    </row>
    <row r="163" spans="2:8" x14ac:dyDescent="0.2">
      <c r="B163" s="55" t="s">
        <v>647</v>
      </c>
      <c r="C163" s="55"/>
      <c r="D163" s="55"/>
      <c r="E163" s="151" t="str">
        <f>IF(Overview!$C$15="","",Overview!$C$15)</f>
        <v>2019-20</v>
      </c>
      <c r="F163" s="55"/>
      <c r="G163" s="55"/>
      <c r="H163" s="55"/>
    </row>
    <row r="164" spans="2:8" x14ac:dyDescent="0.2">
      <c r="B164" s="55" t="s">
        <v>647</v>
      </c>
      <c r="C164" s="55"/>
      <c r="D164" s="55"/>
      <c r="E164" s="151" t="str">
        <f>IF(Overview!$C$15="","",Overview!$C$15)</f>
        <v>2019-20</v>
      </c>
      <c r="F164" s="55"/>
      <c r="G164" s="55"/>
      <c r="H164" s="55"/>
    </row>
    <row r="165" spans="2:8" x14ac:dyDescent="0.2">
      <c r="B165" s="55" t="s">
        <v>647</v>
      </c>
      <c r="C165" s="55"/>
      <c r="D165" s="55"/>
      <c r="E165" s="151" t="str">
        <f>IF(Overview!$C$15="","",Overview!$C$15)</f>
        <v>2019-20</v>
      </c>
      <c r="F165" s="55"/>
      <c r="G165" s="55"/>
      <c r="H165" s="55"/>
    </row>
    <row r="166" spans="2:8" x14ac:dyDescent="0.2">
      <c r="B166" s="55" t="s">
        <v>647</v>
      </c>
      <c r="C166" s="55"/>
      <c r="D166" s="55"/>
      <c r="E166" s="151" t="str">
        <f>IF(Overview!$C$15="","",Overview!$C$15)</f>
        <v>2019-20</v>
      </c>
      <c r="F166" s="55"/>
      <c r="G166" s="55"/>
      <c r="H166" s="55"/>
    </row>
    <row r="167" spans="2:8" x14ac:dyDescent="0.2">
      <c r="B167" s="155"/>
      <c r="C167" s="155"/>
      <c r="D167" s="155"/>
      <c r="E167" s="155"/>
      <c r="F167" s="155"/>
      <c r="G167" s="155"/>
    </row>
    <row r="168" spans="2:8" x14ac:dyDescent="0.2">
      <c r="B168" s="138" t="s">
        <v>713</v>
      </c>
      <c r="C168" s="155"/>
      <c r="D168" s="155"/>
      <c r="E168" s="155"/>
      <c r="F168" s="155"/>
      <c r="G168" s="155"/>
    </row>
    <row r="169" spans="2:8" x14ac:dyDescent="0.2">
      <c r="B169" s="155"/>
      <c r="C169" s="155"/>
      <c r="D169" s="155"/>
      <c r="E169" s="155"/>
      <c r="F169" s="155"/>
      <c r="G169" s="155"/>
    </row>
    <row r="170" spans="2:8" ht="31.5" x14ac:dyDescent="0.2">
      <c r="B170" s="16" t="s">
        <v>58</v>
      </c>
      <c r="C170" s="16" t="s">
        <v>455</v>
      </c>
      <c r="D170" s="16" t="s">
        <v>653</v>
      </c>
      <c r="E170" s="16" t="s">
        <v>59</v>
      </c>
      <c r="F170" s="16" t="s">
        <v>60</v>
      </c>
      <c r="G170" s="148" t="s">
        <v>61</v>
      </c>
      <c r="H170" s="148" t="s">
        <v>576</v>
      </c>
    </row>
    <row r="171" spans="2:8" x14ac:dyDescent="0.2">
      <c r="B171" s="185" t="s">
        <v>642</v>
      </c>
      <c r="C171" s="150" t="s">
        <v>636</v>
      </c>
      <c r="D171" s="18" t="s">
        <v>462</v>
      </c>
      <c r="E171" s="151" t="str">
        <f>IF(Overview!$C$15="","",Overview!$C$15)</f>
        <v>2019-20</v>
      </c>
      <c r="F171" s="55"/>
      <c r="G171" s="127">
        <f>IF(D171="Open-loop",VLOOKUP(Overview!$C$15,'GHG Emission Factors'!$B:$DJ,86,0),IF(D171="Closed-loop",VLOOKUP(Overview!$C$15,'GHG Emission Factors'!$B:$DJ,87,0),IF(D171="Combustion",VLOOKUP(Overview!$C$15,'GHG Emission Factors'!$B:$DJ,88,0),IF(D171="Landfill",VLOOKUP(Overview!$C$15,'GHG Emission Factors'!$B:$DJ,89,0),0))))</f>
        <v>0</v>
      </c>
      <c r="H171" s="153" t="str">
        <f t="shared" ref="H171:H177" si="6">IF(F171="","Enter Consumption Figure",(F171*G171)/1000)</f>
        <v>Enter Consumption Figure</v>
      </c>
    </row>
    <row r="172" spans="2:8" x14ac:dyDescent="0.2">
      <c r="B172" s="185" t="s">
        <v>643</v>
      </c>
      <c r="C172" s="150" t="s">
        <v>636</v>
      </c>
      <c r="D172" s="18" t="s">
        <v>462</v>
      </c>
      <c r="E172" s="151" t="str">
        <f>IF(Overview!$C$15="","",Overview!$C$15)</f>
        <v>2019-20</v>
      </c>
      <c r="F172" s="55"/>
      <c r="G172" s="127">
        <f>IF(D172="Combustion",VLOOKUP(Overview!$C$15,'GHG Emission Factors'!$B:$DJ,90,0),IF(D172="Composting",VLOOKUP(Overview!$C$15,'GHG Emission Factors'!$B:$DJ,91,0),IF(D172="Landfill",VLOOKUP(Overview!$C$15,'GHG Emission Factors'!$B:$DJ,92,0),IF(D172="Anaerobic digestion",VLOOKUP(Overview!$C$15,'GHG Emission Factors'!$B:$DJ,93,0),0))))</f>
        <v>0</v>
      </c>
      <c r="H172" s="153" t="str">
        <f t="shared" si="6"/>
        <v>Enter Consumption Figure</v>
      </c>
    </row>
    <row r="173" spans="2:8" x14ac:dyDescent="0.2">
      <c r="B173" s="185" t="s">
        <v>644</v>
      </c>
      <c r="C173" s="150" t="s">
        <v>636</v>
      </c>
      <c r="D173" s="18" t="s">
        <v>462</v>
      </c>
      <c r="E173" s="151" t="str">
        <f>IF(Overview!$C$15="","",Overview!$C$15)</f>
        <v>2019-20</v>
      </c>
      <c r="F173" s="55"/>
      <c r="G173" s="127">
        <f>IF(D173="Closed-loop",VLOOKUP(Overview!$C$15,'GHG Emission Factors'!$B:$DJ,94,0),IF(D173="Combustion",VLOOKUP(Overview!$C$15,'GHG Emission Factors'!$B:$DJ,95,0),IF(D173="composting",VLOOKUP(Overview!$C$15,'GHG Emission Factors'!$B:$DJ,96,0),IF(D173="landfill",VLOOKUP(Overview!$C$15,'GHG Emission Factors'!$B:$DJ,97,0),IF(D173="Anaerobic digestion",VLOOKUP(Overview!$C$15,'GHG Emission Factors'!$B:$DJ,98,0),0)))))</f>
        <v>0</v>
      </c>
      <c r="H173" s="153" t="str">
        <f t="shared" si="6"/>
        <v>Enter Consumption Figure</v>
      </c>
    </row>
    <row r="174" spans="2:8" x14ac:dyDescent="0.2">
      <c r="B174" s="185" t="s">
        <v>645</v>
      </c>
      <c r="C174" s="150" t="s">
        <v>636</v>
      </c>
      <c r="D174" s="18" t="s">
        <v>462</v>
      </c>
      <c r="E174" s="151" t="str">
        <f>IF(Overview!$C$15="","",Overview!$C$15)</f>
        <v>2019-20</v>
      </c>
      <c r="F174" s="55"/>
      <c r="G174" s="127">
        <f>IF(D174="Open-loop",VLOOKUP(Overview!$C$15,'GHG Emission Factors'!$B:$DJ,99,0),IF(D174="Combustion",VLOOKUP(Overview!$C$15,'GHG Emission Factors'!$B:$DJ,100,0),IF(D174="Landfill",VLOOKUP(Overview!$C$15,'GHG Emission Factors'!$B:$DJ,101,0),0)))</f>
        <v>0</v>
      </c>
      <c r="H174" s="153" t="str">
        <f t="shared" si="6"/>
        <v>Enter Consumption Figure</v>
      </c>
    </row>
    <row r="175" spans="2:8" x14ac:dyDescent="0.2">
      <c r="B175" s="185" t="s">
        <v>646</v>
      </c>
      <c r="C175" s="150" t="s">
        <v>636</v>
      </c>
      <c r="D175" s="18" t="s">
        <v>462</v>
      </c>
      <c r="E175" s="151" t="str">
        <f>IF(Overview!$C$15="","",Overview!$C$15)</f>
        <v>2019-20</v>
      </c>
      <c r="F175" s="55"/>
      <c r="G175" s="127">
        <f>IF(D175="Open-loop",VLOOKUP(Overview!$C$15,'GHG Emission Factors'!$B:$DJ,102,0),IF(D175="Closed-loop",VLOOKUP(Overview!$C$15,'GHG Emission Factors'!$B:$DJ,103,0),IF(D175="Combustion",VLOOKUP(Overview!$C$15,'GHG Emission Factors'!$B:$DJ,104,0),IF(D175="Landfill",VLOOKUP(Overview!$C$15,'GHG Emission Factors'!$B:$DJ,105,0),0))))</f>
        <v>0</v>
      </c>
      <c r="H175" s="153" t="str">
        <f t="shared" si="6"/>
        <v>Enter Consumption Figure</v>
      </c>
    </row>
    <row r="176" spans="2:8" x14ac:dyDescent="0.2">
      <c r="B176" s="185" t="s">
        <v>638</v>
      </c>
      <c r="C176" s="150" t="s">
        <v>636</v>
      </c>
      <c r="D176" s="18" t="s">
        <v>462</v>
      </c>
      <c r="E176" s="151" t="str">
        <f>IF(Overview!$C$15="","",Overview!$C$15)</f>
        <v>2019-20</v>
      </c>
      <c r="F176" s="55"/>
      <c r="G176" s="127">
        <f>IF(D176="Open-loop",VLOOKUP(Overview!$C$15,'GHG Emission Factors'!$B:$DJ,106,0),IF(D176="Closed-loop",VLOOKUP(Overview!$C$15,'GHG Emission Factors'!$B:$DJ,107,0),IF(D176="Combustion",VLOOKUP(Overview!$C$15,'GHG Emission Factors'!$B:$DJ,108,0),IF(D176="Landfill",VLOOKUP(Overview!$C$15,'GHG Emission Factors'!$B:$DJ,109,0),0))))</f>
        <v>0</v>
      </c>
      <c r="H176" s="153" t="str">
        <f t="shared" si="6"/>
        <v>Enter Consumption Figure</v>
      </c>
    </row>
    <row r="177" spans="2:9" x14ac:dyDescent="0.2">
      <c r="B177" s="185" t="s">
        <v>648</v>
      </c>
      <c r="C177" s="150" t="s">
        <v>636</v>
      </c>
      <c r="D177" s="18" t="s">
        <v>462</v>
      </c>
      <c r="E177" s="151" t="str">
        <f>IF(Overview!$C$15="","",Overview!$C$15)</f>
        <v>2019-20</v>
      </c>
      <c r="F177" s="55"/>
      <c r="G177" s="127">
        <f>IF(D177="Closed-loop",VLOOKUP(Overview!$C$15,'GHG Emission Factors'!$B:$DJ,110,0),IF(D177="Combustion",VLOOKUP(Overview!$C$15,'GHG Emission Factors'!$B:$DJ,111,0),IF(D177="Composting",VLOOKUP(Overview!$C$15,'GHG Emission Factors'!$B:$DJ,112,0),IF(D177="Landfill",VLOOKUP(Overview!$C$15,'GHG Emission Factors'!$B:$DJ,113,0),0))))</f>
        <v>0</v>
      </c>
      <c r="H177" s="153" t="str">
        <f t="shared" si="6"/>
        <v>Enter Consumption Figure</v>
      </c>
    </row>
    <row r="178" spans="2:9" x14ac:dyDescent="0.2">
      <c r="B178" s="55" t="s">
        <v>647</v>
      </c>
      <c r="C178" s="55"/>
      <c r="D178" s="55"/>
      <c r="E178" s="151" t="str">
        <f>IF(Overview!$C$15="","",Overview!$C$15)</f>
        <v>2019-20</v>
      </c>
      <c r="F178" s="55"/>
      <c r="G178" s="55"/>
      <c r="H178" s="55"/>
    </row>
    <row r="179" spans="2:9" x14ac:dyDescent="0.2">
      <c r="B179" s="55" t="s">
        <v>647</v>
      </c>
      <c r="C179" s="55"/>
      <c r="D179" s="55"/>
      <c r="E179" s="151" t="str">
        <f>IF(Overview!$C$15="","",Overview!$C$15)</f>
        <v>2019-20</v>
      </c>
      <c r="F179" s="55"/>
      <c r="G179" s="55"/>
      <c r="H179" s="55"/>
    </row>
    <row r="180" spans="2:9" x14ac:dyDescent="0.2">
      <c r="B180" s="55" t="s">
        <v>647</v>
      </c>
      <c r="C180" s="55"/>
      <c r="D180" s="55"/>
      <c r="E180" s="151" t="str">
        <f>IF(Overview!$C$15="","",Overview!$C$15)</f>
        <v>2019-20</v>
      </c>
      <c r="F180" s="55"/>
      <c r="G180" s="55"/>
      <c r="H180" s="55"/>
    </row>
    <row r="181" spans="2:9" x14ac:dyDescent="0.2">
      <c r="B181" s="55" t="s">
        <v>647</v>
      </c>
      <c r="C181" s="55"/>
      <c r="D181" s="55"/>
      <c r="E181" s="151" t="str">
        <f>IF(Overview!$C$15="","",Overview!$C$15)</f>
        <v>2019-20</v>
      </c>
      <c r="F181" s="55"/>
      <c r="G181" s="55"/>
      <c r="H181" s="55"/>
    </row>
    <row r="182" spans="2:9" x14ac:dyDescent="0.2">
      <c r="B182" s="155"/>
      <c r="C182" s="155"/>
      <c r="D182" s="155"/>
      <c r="E182" s="155"/>
      <c r="F182" s="155"/>
      <c r="G182" s="155"/>
    </row>
    <row r="183" spans="2:9" x14ac:dyDescent="0.2">
      <c r="B183" s="155"/>
      <c r="C183" s="155"/>
      <c r="D183" s="155"/>
      <c r="E183" s="155"/>
      <c r="F183" s="155"/>
      <c r="G183" s="155"/>
    </row>
    <row r="184" spans="2:9" x14ac:dyDescent="0.2">
      <c r="B184" s="155"/>
      <c r="C184" s="155"/>
      <c r="D184" s="155"/>
      <c r="E184" s="155"/>
      <c r="F184" s="155"/>
      <c r="G184" s="155"/>
    </row>
    <row r="185" spans="2:9" x14ac:dyDescent="0.2">
      <c r="B185" s="155"/>
      <c r="C185" s="155"/>
      <c r="D185" s="155"/>
      <c r="E185" s="155"/>
      <c r="F185" s="155"/>
      <c r="G185" s="155"/>
    </row>
    <row r="186" spans="2:9" ht="15" x14ac:dyDescent="0.2">
      <c r="B186" s="154" t="s">
        <v>570</v>
      </c>
      <c r="C186" s="168"/>
      <c r="D186" s="168"/>
      <c r="E186" s="168"/>
      <c r="F186" s="168"/>
      <c r="G186" s="168"/>
      <c r="H186" s="168"/>
      <c r="I186" s="168"/>
    </row>
    <row r="187" spans="2:9" ht="15" x14ac:dyDescent="0.2">
      <c r="B187" s="278"/>
      <c r="C187" s="278"/>
      <c r="D187" s="278"/>
      <c r="E187" s="278"/>
      <c r="F187" s="278"/>
      <c r="G187" s="278"/>
      <c r="H187" s="168"/>
      <c r="I187" s="168"/>
    </row>
    <row r="188" spans="2:9" ht="15" x14ac:dyDescent="0.2">
      <c r="B188" s="278"/>
      <c r="C188" s="278"/>
      <c r="D188" s="278"/>
      <c r="E188" s="278"/>
      <c r="F188" s="278"/>
      <c r="G188" s="278"/>
      <c r="H188" s="168"/>
      <c r="I188" s="168"/>
    </row>
    <row r="189" spans="2:9" ht="15" x14ac:dyDescent="0.2">
      <c r="B189" s="278"/>
      <c r="C189" s="278"/>
      <c r="D189" s="278"/>
      <c r="E189" s="278"/>
      <c r="F189" s="278"/>
      <c r="G189" s="278"/>
      <c r="H189" s="168"/>
      <c r="I189" s="168"/>
    </row>
    <row r="190" spans="2:9" ht="15" x14ac:dyDescent="0.2">
      <c r="B190" s="278"/>
      <c r="C190" s="278"/>
      <c r="D190" s="278"/>
      <c r="E190" s="278"/>
      <c r="F190" s="278"/>
      <c r="G190" s="278"/>
      <c r="H190" s="168"/>
      <c r="I190" s="168"/>
    </row>
    <row r="191" spans="2:9" ht="15" x14ac:dyDescent="0.2">
      <c r="B191" s="278"/>
      <c r="C191" s="278"/>
      <c r="D191" s="278"/>
      <c r="E191" s="278"/>
      <c r="F191" s="278"/>
      <c r="G191" s="278"/>
      <c r="H191" s="168"/>
      <c r="I191" s="168"/>
    </row>
    <row r="192" spans="2:9" ht="15" x14ac:dyDescent="0.2">
      <c r="B192" s="278"/>
      <c r="C192" s="278"/>
      <c r="D192" s="278"/>
      <c r="E192" s="278"/>
      <c r="F192" s="278"/>
      <c r="G192" s="278"/>
      <c r="H192" s="168"/>
      <c r="I192" s="168"/>
    </row>
    <row r="193" spans="2:9" ht="15" x14ac:dyDescent="0.2">
      <c r="B193" s="278"/>
      <c r="C193" s="278"/>
      <c r="D193" s="278"/>
      <c r="E193" s="278"/>
      <c r="F193" s="278"/>
      <c r="G193" s="278"/>
      <c r="H193" s="168"/>
      <c r="I193" s="168"/>
    </row>
    <row r="194" spans="2:9" ht="15" x14ac:dyDescent="0.2">
      <c r="B194" s="278"/>
      <c r="C194" s="278"/>
      <c r="D194" s="278"/>
      <c r="E194" s="278"/>
      <c r="F194" s="278"/>
      <c r="G194" s="278"/>
      <c r="H194" s="168"/>
      <c r="I194" s="168"/>
    </row>
    <row r="195" spans="2:9" ht="15" x14ac:dyDescent="0.2">
      <c r="B195" s="278"/>
      <c r="C195" s="278"/>
      <c r="D195" s="278"/>
      <c r="E195" s="278"/>
      <c r="F195" s="278"/>
      <c r="G195" s="278"/>
      <c r="H195" s="168"/>
      <c r="I195" s="168"/>
    </row>
    <row r="196" spans="2:9" ht="15" x14ac:dyDescent="0.2">
      <c r="B196" s="278"/>
      <c r="C196" s="278"/>
      <c r="D196" s="278"/>
      <c r="E196" s="278"/>
      <c r="F196" s="278"/>
      <c r="G196" s="278"/>
      <c r="H196" s="168"/>
      <c r="I196" s="168"/>
    </row>
    <row r="197" spans="2:9" ht="15" x14ac:dyDescent="0.2">
      <c r="B197" s="278"/>
      <c r="C197" s="278"/>
      <c r="D197" s="278"/>
      <c r="E197" s="278"/>
      <c r="F197" s="278"/>
      <c r="G197" s="278"/>
      <c r="H197" s="168"/>
      <c r="I197" s="168"/>
    </row>
    <row r="198" spans="2:9" ht="15" x14ac:dyDescent="0.2">
      <c r="B198" s="278"/>
      <c r="C198" s="278"/>
      <c r="D198" s="278"/>
      <c r="E198" s="278"/>
      <c r="F198" s="278"/>
      <c r="G198" s="278"/>
      <c r="H198" s="168"/>
      <c r="I198" s="168"/>
    </row>
    <row r="199" spans="2:9" ht="15" x14ac:dyDescent="0.2">
      <c r="B199" s="278"/>
      <c r="C199" s="278"/>
      <c r="D199" s="278"/>
      <c r="E199" s="278"/>
      <c r="F199" s="278"/>
      <c r="G199" s="278"/>
      <c r="H199" s="168"/>
      <c r="I199" s="168"/>
    </row>
    <row r="200" spans="2:9" ht="15" x14ac:dyDescent="0.2">
      <c r="B200" s="278"/>
      <c r="C200" s="278"/>
      <c r="D200" s="278"/>
      <c r="E200" s="278"/>
      <c r="F200" s="278"/>
      <c r="G200" s="278"/>
      <c r="H200" s="168"/>
      <c r="I200" s="168"/>
    </row>
    <row r="201" spans="2:9" ht="15" x14ac:dyDescent="0.2">
      <c r="B201" s="278"/>
      <c r="C201" s="278"/>
      <c r="D201" s="278"/>
      <c r="E201" s="278"/>
      <c r="F201" s="278"/>
      <c r="G201" s="278"/>
      <c r="H201" s="168"/>
      <c r="I201" s="168"/>
    </row>
    <row r="202" spans="2:9" ht="15" x14ac:dyDescent="0.2">
      <c r="B202" s="278"/>
      <c r="C202" s="278"/>
      <c r="D202" s="278"/>
      <c r="E202" s="278"/>
      <c r="F202" s="278"/>
      <c r="G202" s="278"/>
      <c r="H202" s="168"/>
      <c r="I202" s="168"/>
    </row>
    <row r="203" spans="2:9" ht="15" x14ac:dyDescent="0.2">
      <c r="B203" s="278"/>
      <c r="C203" s="278"/>
      <c r="D203" s="278"/>
      <c r="E203" s="278"/>
      <c r="F203" s="278"/>
      <c r="G203" s="278"/>
      <c r="H203" s="168"/>
      <c r="I203" s="168"/>
    </row>
    <row r="204" spans="2:9" ht="15" x14ac:dyDescent="0.2">
      <c r="B204" s="278"/>
      <c r="C204" s="278"/>
      <c r="D204" s="278"/>
      <c r="E204" s="278"/>
      <c r="F204" s="278"/>
      <c r="G204" s="278"/>
      <c r="H204" s="168"/>
      <c r="I204" s="168"/>
    </row>
    <row r="205" spans="2:9" ht="15" x14ac:dyDescent="0.2">
      <c r="B205" s="278"/>
      <c r="C205" s="278"/>
      <c r="D205" s="278"/>
      <c r="E205" s="278"/>
      <c r="F205" s="278"/>
      <c r="G205" s="278"/>
      <c r="H205" s="168"/>
      <c r="I205" s="168"/>
    </row>
    <row r="206" spans="2:9" ht="15" x14ac:dyDescent="0.2">
      <c r="B206" s="278"/>
      <c r="C206" s="278"/>
      <c r="D206" s="278"/>
      <c r="E206" s="278"/>
      <c r="F206" s="278"/>
      <c r="G206" s="278"/>
      <c r="H206" s="168"/>
      <c r="I206" s="168"/>
    </row>
    <row r="207" spans="2:9" ht="15" x14ac:dyDescent="0.2">
      <c r="B207" s="278"/>
      <c r="C207" s="278"/>
      <c r="D207" s="278"/>
      <c r="E207" s="278"/>
      <c r="F207" s="278"/>
      <c r="G207" s="278"/>
      <c r="H207" s="168"/>
      <c r="I207" s="168"/>
    </row>
    <row r="208" spans="2:9" ht="15" x14ac:dyDescent="0.2">
      <c r="B208" s="278"/>
      <c r="C208" s="278"/>
      <c r="D208" s="278"/>
      <c r="E208" s="278"/>
      <c r="F208" s="278"/>
      <c r="G208" s="278"/>
      <c r="H208" s="168"/>
      <c r="I208" s="168"/>
    </row>
    <row r="209" spans="2:9" ht="15" x14ac:dyDescent="0.2">
      <c r="B209" s="155"/>
      <c r="C209" s="155"/>
      <c r="D209" s="155"/>
      <c r="E209" s="155"/>
      <c r="F209" s="155"/>
      <c r="G209" s="155"/>
      <c r="H209" s="168"/>
      <c r="I209" s="168"/>
    </row>
    <row r="210" spans="2:9" ht="15" x14ac:dyDescent="0.2">
      <c r="B210" s="155"/>
      <c r="C210" s="155"/>
      <c r="D210" s="155"/>
      <c r="E210" s="155"/>
      <c r="F210" s="155"/>
      <c r="G210" s="155"/>
      <c r="H210" s="168"/>
      <c r="I210" s="168"/>
    </row>
    <row r="211" spans="2:9" s="155" customFormat="1" ht="15" x14ac:dyDescent="0.2">
      <c r="H211" s="168"/>
      <c r="I211" s="168"/>
    </row>
    <row r="212" spans="2:9" s="155" customFormat="1" ht="15" x14ac:dyDescent="0.2">
      <c r="H212" s="168"/>
      <c r="I212" s="168"/>
    </row>
    <row r="213" spans="2:9" s="155" customFormat="1" ht="15" x14ac:dyDescent="0.2">
      <c r="H213" s="168"/>
      <c r="I213" s="168"/>
    </row>
    <row r="214" spans="2:9" s="155" customFormat="1" ht="15" x14ac:dyDescent="0.2">
      <c r="B214" s="171" t="s">
        <v>554</v>
      </c>
      <c r="C214" s="172"/>
      <c r="D214" s="172"/>
      <c r="H214" s="168"/>
      <c r="I214" s="168"/>
    </row>
    <row r="215" spans="2:9" s="155" customFormat="1" ht="15" x14ac:dyDescent="0.2">
      <c r="B215" s="279" t="s">
        <v>613</v>
      </c>
      <c r="C215" s="279"/>
      <c r="D215" s="279"/>
      <c r="H215" s="168"/>
      <c r="I215" s="168"/>
    </row>
    <row r="216" spans="2:9" s="155" customFormat="1" ht="15" x14ac:dyDescent="0.2">
      <c r="H216" s="168"/>
      <c r="I216" s="168"/>
    </row>
    <row r="217" spans="2:9" s="155" customFormat="1" ht="15" x14ac:dyDescent="0.2">
      <c r="H217" s="168"/>
      <c r="I217" s="168"/>
    </row>
    <row r="218" spans="2:9" s="155" customFormat="1" ht="15" x14ac:dyDescent="0.2">
      <c r="H218" s="168"/>
      <c r="I218" s="168"/>
    </row>
    <row r="219" spans="2:9" s="155" customFormat="1" ht="15" x14ac:dyDescent="0.2">
      <c r="H219" s="168"/>
      <c r="I219" s="168"/>
    </row>
    <row r="220" spans="2:9" s="155" customFormat="1" ht="15" x14ac:dyDescent="0.2">
      <c r="H220" s="168"/>
      <c r="I220" s="168"/>
    </row>
    <row r="221" spans="2:9" s="155" customFormat="1" ht="15" x14ac:dyDescent="0.2">
      <c r="H221" s="168"/>
      <c r="I221" s="168"/>
    </row>
    <row r="222" spans="2:9" s="155" customFormat="1" ht="15" x14ac:dyDescent="0.2">
      <c r="H222" s="168"/>
      <c r="I222" s="168"/>
    </row>
    <row r="223" spans="2:9" s="155" customFormat="1" ht="15" x14ac:dyDescent="0.2">
      <c r="H223" s="168"/>
      <c r="I223" s="168"/>
    </row>
    <row r="224" spans="2:9" s="155" customFormat="1" ht="15" x14ac:dyDescent="0.2">
      <c r="H224" s="168"/>
      <c r="I224" s="168"/>
    </row>
    <row r="225" spans="2:9" s="155" customFormat="1" ht="15" x14ac:dyDescent="0.2">
      <c r="H225" s="168"/>
      <c r="I225" s="168"/>
    </row>
    <row r="226" spans="2:9" s="155" customFormat="1" ht="15" x14ac:dyDescent="0.2">
      <c r="H226" s="168"/>
      <c r="I226" s="168"/>
    </row>
    <row r="227" spans="2:9" s="155" customFormat="1" ht="15" x14ac:dyDescent="0.2">
      <c r="H227" s="168"/>
      <c r="I227" s="168"/>
    </row>
    <row r="228" spans="2:9" s="155" customFormat="1" ht="15" x14ac:dyDescent="0.2">
      <c r="H228" s="168"/>
      <c r="I228" s="168"/>
    </row>
    <row r="229" spans="2:9" s="155" customFormat="1" ht="15" x14ac:dyDescent="0.2">
      <c r="H229" s="168"/>
      <c r="I229" s="168"/>
    </row>
    <row r="230" spans="2:9" s="155" customFormat="1" ht="15" x14ac:dyDescent="0.2">
      <c r="H230" s="168"/>
      <c r="I230" s="168"/>
    </row>
    <row r="231" spans="2:9" s="155" customFormat="1" ht="15" x14ac:dyDescent="0.2">
      <c r="H231" s="168"/>
      <c r="I231" s="168"/>
    </row>
    <row r="232" spans="2:9" s="155" customFormat="1" ht="15" x14ac:dyDescent="0.2">
      <c r="H232" s="168"/>
      <c r="I232" s="168"/>
    </row>
    <row r="233" spans="2:9" s="155" customFormat="1" ht="15" x14ac:dyDescent="0.2">
      <c r="H233" s="168"/>
      <c r="I233" s="168"/>
    </row>
    <row r="234" spans="2:9" s="155" customFormat="1" ht="15" x14ac:dyDescent="0.2">
      <c r="H234" s="168"/>
      <c r="I234" s="168"/>
    </row>
    <row r="235" spans="2:9" s="155" customFormat="1" ht="15" x14ac:dyDescent="0.2">
      <c r="H235" s="168"/>
      <c r="I235" s="168"/>
    </row>
    <row r="236" spans="2:9" s="155" customFormat="1" ht="15" x14ac:dyDescent="0.2">
      <c r="H236" s="168"/>
      <c r="I236" s="168"/>
    </row>
    <row r="237" spans="2:9" s="155" customFormat="1" ht="15" x14ac:dyDescent="0.2">
      <c r="H237" s="168"/>
      <c r="I237" s="168"/>
    </row>
    <row r="238" spans="2:9" s="155" customFormat="1" ht="15" x14ac:dyDescent="0.2">
      <c r="H238" s="168"/>
      <c r="I238" s="168"/>
    </row>
    <row r="239" spans="2:9" s="155" customFormat="1" ht="15" x14ac:dyDescent="0.2">
      <c r="H239" s="168"/>
      <c r="I239" s="168"/>
    </row>
    <row r="240" spans="2:9" ht="15" x14ac:dyDescent="0.2">
      <c r="B240" s="155"/>
      <c r="C240" s="155"/>
      <c r="D240" s="155"/>
      <c r="E240" s="155"/>
      <c r="F240" s="155"/>
      <c r="G240" s="155"/>
      <c r="H240" s="168"/>
      <c r="I240" s="168"/>
    </row>
    <row r="241" spans="2:9" ht="15" x14ac:dyDescent="0.2">
      <c r="B241" s="155"/>
      <c r="C241" s="155"/>
      <c r="D241" s="155"/>
      <c r="E241" s="155"/>
      <c r="F241" s="155"/>
      <c r="G241" s="155"/>
      <c r="H241" s="168"/>
      <c r="I241" s="168"/>
    </row>
    <row r="242" spans="2:9" ht="15" x14ac:dyDescent="0.2">
      <c r="B242" s="155"/>
      <c r="C242" s="155"/>
      <c r="D242" s="155"/>
      <c r="E242" s="155"/>
      <c r="F242" s="155"/>
      <c r="G242" s="155"/>
      <c r="H242" s="168"/>
      <c r="I242" s="168"/>
    </row>
    <row r="243" spans="2:9" ht="15" x14ac:dyDescent="0.2">
      <c r="B243" s="155"/>
      <c r="C243" s="155"/>
      <c r="D243" s="155"/>
      <c r="E243" s="155"/>
      <c r="F243" s="155"/>
      <c r="G243" s="155"/>
      <c r="H243" s="168"/>
      <c r="I243" s="168"/>
    </row>
    <row r="244" spans="2:9" ht="15" x14ac:dyDescent="0.2">
      <c r="B244" s="155"/>
      <c r="C244" s="155"/>
      <c r="D244" s="155"/>
      <c r="E244" s="155"/>
      <c r="F244" s="155"/>
      <c r="G244" s="155"/>
      <c r="H244" s="168"/>
      <c r="I244" s="168"/>
    </row>
    <row r="245" spans="2:9" ht="15" x14ac:dyDescent="0.2">
      <c r="B245" s="155"/>
      <c r="C245" s="155"/>
      <c r="D245" s="155"/>
      <c r="E245" s="155"/>
      <c r="F245" s="155"/>
      <c r="G245" s="155"/>
      <c r="H245" s="168"/>
      <c r="I245" s="168"/>
    </row>
    <row r="246" spans="2:9" ht="15" x14ac:dyDescent="0.2">
      <c r="B246" s="155"/>
      <c r="C246" s="155"/>
      <c r="D246" s="155"/>
      <c r="E246" s="155"/>
      <c r="F246" s="155"/>
      <c r="G246" s="155"/>
      <c r="H246" s="168"/>
      <c r="I246" s="168"/>
    </row>
    <row r="247" spans="2:9" ht="15" x14ac:dyDescent="0.2">
      <c r="B247" s="155"/>
      <c r="C247" s="155"/>
      <c r="D247" s="155"/>
      <c r="E247" s="155"/>
      <c r="F247" s="155"/>
      <c r="G247" s="155"/>
      <c r="H247" s="168"/>
      <c r="I247" s="168"/>
    </row>
    <row r="248" spans="2:9" ht="15" x14ac:dyDescent="0.2">
      <c r="B248" s="155"/>
      <c r="C248" s="155"/>
      <c r="D248" s="155"/>
      <c r="E248" s="155"/>
      <c r="F248" s="155"/>
      <c r="G248" s="155"/>
      <c r="H248" s="168"/>
      <c r="I248" s="168"/>
    </row>
    <row r="249" spans="2:9" ht="15" x14ac:dyDescent="0.2">
      <c r="B249" s="155"/>
      <c r="C249" s="155"/>
      <c r="D249" s="155"/>
      <c r="E249" s="155"/>
      <c r="F249" s="155"/>
      <c r="G249" s="155"/>
      <c r="H249" s="168"/>
      <c r="I249" s="168"/>
    </row>
    <row r="250" spans="2:9" ht="15" x14ac:dyDescent="0.2">
      <c r="B250" s="155"/>
      <c r="C250" s="155"/>
      <c r="D250" s="155"/>
      <c r="E250" s="155"/>
      <c r="F250" s="155"/>
      <c r="G250" s="155"/>
      <c r="H250" s="168"/>
      <c r="I250" s="168"/>
    </row>
    <row r="251" spans="2:9" ht="15" x14ac:dyDescent="0.2">
      <c r="B251" s="155"/>
      <c r="C251" s="155"/>
      <c r="D251" s="155"/>
      <c r="E251" s="155"/>
      <c r="F251" s="155"/>
      <c r="G251" s="155"/>
      <c r="H251" s="168"/>
      <c r="I251" s="168"/>
    </row>
    <row r="252" spans="2:9" ht="15" x14ac:dyDescent="0.2">
      <c r="B252" s="155"/>
      <c r="C252" s="155"/>
      <c r="D252" s="155"/>
      <c r="E252" s="155"/>
      <c r="F252" s="155"/>
      <c r="G252" s="155"/>
      <c r="H252" s="168"/>
      <c r="I252" s="168"/>
    </row>
    <row r="253" spans="2:9" ht="15" x14ac:dyDescent="0.2">
      <c r="B253" s="155"/>
      <c r="C253" s="155"/>
      <c r="D253" s="155"/>
      <c r="E253" s="155"/>
      <c r="F253" s="155"/>
      <c r="G253" s="155"/>
      <c r="H253" s="168"/>
      <c r="I253" s="168"/>
    </row>
    <row r="254" spans="2:9" ht="15" x14ac:dyDescent="0.2">
      <c r="B254" s="155"/>
      <c r="C254" s="155"/>
      <c r="D254" s="155"/>
      <c r="E254" s="155"/>
      <c r="F254" s="155"/>
      <c r="G254" s="155"/>
      <c r="H254" s="168"/>
      <c r="I254" s="168"/>
    </row>
    <row r="255" spans="2:9" ht="15" x14ac:dyDescent="0.2">
      <c r="B255" s="155"/>
      <c r="C255" s="155"/>
      <c r="D255" s="155"/>
      <c r="E255" s="155"/>
      <c r="F255" s="155"/>
      <c r="G255" s="155"/>
      <c r="H255" s="168"/>
      <c r="I255" s="168"/>
    </row>
    <row r="256" spans="2:9" ht="15" x14ac:dyDescent="0.2">
      <c r="B256" s="155"/>
      <c r="C256" s="155"/>
      <c r="D256" s="155"/>
      <c r="E256" s="155"/>
      <c r="F256" s="155"/>
      <c r="G256" s="155"/>
      <c r="H256" s="168"/>
      <c r="I256" s="168"/>
    </row>
    <row r="257" spans="2:9" ht="15" x14ac:dyDescent="0.2">
      <c r="B257" s="155"/>
      <c r="C257" s="155"/>
      <c r="D257" s="155"/>
      <c r="E257" s="155"/>
      <c r="F257" s="155"/>
      <c r="G257" s="155"/>
      <c r="H257" s="168"/>
      <c r="I257" s="168"/>
    </row>
    <row r="258" spans="2:9" ht="15" x14ac:dyDescent="0.2">
      <c r="B258" s="155"/>
      <c r="C258" s="155"/>
      <c r="D258" s="155"/>
      <c r="E258" s="155"/>
      <c r="F258" s="155"/>
      <c r="G258" s="155"/>
      <c r="H258" s="168"/>
      <c r="I258" s="168"/>
    </row>
    <row r="259" spans="2:9" ht="15" x14ac:dyDescent="0.2">
      <c r="B259" s="155"/>
      <c r="C259" s="155"/>
      <c r="D259" s="155"/>
      <c r="E259" s="155"/>
      <c r="F259" s="155"/>
      <c r="G259" s="155"/>
      <c r="H259" s="168"/>
      <c r="I259" s="168"/>
    </row>
    <row r="260" spans="2:9" ht="15" x14ac:dyDescent="0.2">
      <c r="B260" s="155"/>
      <c r="C260" s="155"/>
      <c r="D260" s="155"/>
      <c r="E260" s="155"/>
      <c r="F260" s="155"/>
      <c r="G260" s="155"/>
      <c r="H260" s="168"/>
      <c r="I260" s="168"/>
    </row>
    <row r="261" spans="2:9" ht="15" x14ac:dyDescent="0.2">
      <c r="B261" s="155"/>
      <c r="C261" s="155"/>
      <c r="D261" s="155"/>
      <c r="E261" s="155"/>
      <c r="F261" s="155"/>
      <c r="G261" s="155"/>
      <c r="H261" s="168"/>
      <c r="I261" s="168"/>
    </row>
    <row r="262" spans="2:9" ht="15" x14ac:dyDescent="0.2">
      <c r="B262" s="155"/>
      <c r="C262" s="155"/>
      <c r="D262" s="155"/>
      <c r="E262" s="155"/>
      <c r="F262" s="155"/>
      <c r="G262" s="155"/>
      <c r="H262" s="168"/>
      <c r="I262" s="168"/>
    </row>
    <row r="263" spans="2:9" ht="15" x14ac:dyDescent="0.2">
      <c r="B263" s="155"/>
      <c r="C263" s="155"/>
      <c r="D263" s="155"/>
      <c r="E263" s="155"/>
      <c r="F263" s="155"/>
      <c r="G263" s="155"/>
      <c r="H263" s="168"/>
      <c r="I263" s="168"/>
    </row>
    <row r="264" spans="2:9" ht="15" x14ac:dyDescent="0.2">
      <c r="B264" s="155"/>
      <c r="C264" s="155"/>
      <c r="D264" s="155"/>
      <c r="E264" s="155"/>
      <c r="F264" s="155"/>
      <c r="G264" s="155"/>
      <c r="H264" s="168"/>
      <c r="I264" s="168"/>
    </row>
    <row r="265" spans="2:9" ht="15" x14ac:dyDescent="0.2">
      <c r="B265" s="155"/>
      <c r="C265" s="155"/>
      <c r="D265" s="155"/>
      <c r="E265" s="155"/>
      <c r="F265" s="155"/>
      <c r="G265" s="155"/>
      <c r="H265" s="168"/>
      <c r="I265" s="168"/>
    </row>
    <row r="266" spans="2:9" ht="15" x14ac:dyDescent="0.2">
      <c r="B266" s="155"/>
      <c r="C266" s="155"/>
      <c r="D266" s="155"/>
      <c r="E266" s="155"/>
      <c r="F266" s="155"/>
      <c r="G266" s="155"/>
      <c r="H266" s="168"/>
      <c r="I266" s="168"/>
    </row>
    <row r="267" spans="2:9" ht="15" x14ac:dyDescent="0.2">
      <c r="B267" s="155"/>
      <c r="C267" s="155"/>
      <c r="D267" s="155"/>
      <c r="E267" s="155"/>
      <c r="F267" s="155"/>
      <c r="G267" s="155"/>
      <c r="H267" s="168"/>
      <c r="I267" s="168"/>
    </row>
    <row r="268" spans="2:9" ht="15" x14ac:dyDescent="0.2">
      <c r="B268" s="155"/>
      <c r="C268" s="155"/>
      <c r="D268" s="155"/>
      <c r="E268" s="155"/>
      <c r="F268" s="155"/>
      <c r="G268" s="155"/>
      <c r="H268" s="168"/>
      <c r="I268" s="168"/>
    </row>
    <row r="269" spans="2:9" ht="15" x14ac:dyDescent="0.2">
      <c r="B269" s="155"/>
      <c r="C269" s="155"/>
      <c r="D269" s="155"/>
      <c r="E269" s="155"/>
      <c r="F269" s="155"/>
      <c r="G269" s="155"/>
      <c r="H269" s="168"/>
      <c r="I269" s="168"/>
    </row>
    <row r="270" spans="2:9" ht="15" x14ac:dyDescent="0.2">
      <c r="B270" s="155"/>
      <c r="C270" s="155"/>
      <c r="D270" s="155"/>
      <c r="E270" s="155"/>
      <c r="F270" s="155"/>
      <c r="G270" s="155"/>
      <c r="H270" s="168"/>
      <c r="I270" s="168"/>
    </row>
    <row r="271" spans="2:9" ht="15" x14ac:dyDescent="0.2">
      <c r="B271" s="155"/>
      <c r="C271" s="155"/>
      <c r="D271" s="155"/>
      <c r="E271" s="155"/>
      <c r="F271" s="155"/>
      <c r="G271" s="155"/>
      <c r="H271" s="168"/>
      <c r="I271" s="168"/>
    </row>
    <row r="272" spans="2:9" ht="15" x14ac:dyDescent="0.2">
      <c r="B272" s="155"/>
      <c r="C272" s="155"/>
      <c r="D272" s="155"/>
      <c r="E272" s="155"/>
      <c r="F272" s="155"/>
      <c r="G272" s="155"/>
      <c r="H272" s="168"/>
      <c r="I272" s="168"/>
    </row>
    <row r="273" spans="2:9" ht="15" x14ac:dyDescent="0.2">
      <c r="B273" s="155"/>
      <c r="C273" s="155"/>
      <c r="D273" s="155"/>
      <c r="E273" s="155"/>
      <c r="F273" s="155"/>
      <c r="G273" s="155"/>
      <c r="H273" s="168"/>
      <c r="I273" s="168"/>
    </row>
    <row r="274" spans="2:9" ht="15" x14ac:dyDescent="0.2">
      <c r="B274" s="155"/>
      <c r="C274" s="155"/>
      <c r="D274" s="155"/>
      <c r="E274" s="155"/>
      <c r="F274" s="155"/>
      <c r="G274" s="155"/>
      <c r="H274" s="168"/>
      <c r="I274" s="168"/>
    </row>
    <row r="275" spans="2:9" ht="15" x14ac:dyDescent="0.2">
      <c r="B275" s="155"/>
      <c r="C275" s="155"/>
      <c r="D275" s="155"/>
      <c r="E275" s="155"/>
      <c r="F275" s="155"/>
      <c r="G275" s="155"/>
      <c r="H275" s="168"/>
      <c r="I275" s="168"/>
    </row>
    <row r="276" spans="2:9" ht="15" x14ac:dyDescent="0.2">
      <c r="B276" s="155"/>
      <c r="C276" s="155"/>
      <c r="D276" s="155"/>
      <c r="E276" s="155"/>
      <c r="F276" s="155"/>
      <c r="G276" s="155"/>
      <c r="H276" s="168"/>
      <c r="I276" s="168"/>
    </row>
    <row r="277" spans="2:9" ht="15" x14ac:dyDescent="0.2">
      <c r="B277" s="155"/>
      <c r="C277" s="155"/>
      <c r="D277" s="155"/>
      <c r="E277" s="155"/>
      <c r="F277" s="155"/>
      <c r="G277" s="155"/>
      <c r="H277" s="168"/>
      <c r="I277" s="168"/>
    </row>
    <row r="278" spans="2:9" ht="15" x14ac:dyDescent="0.2">
      <c r="B278" s="155"/>
      <c r="C278" s="155"/>
      <c r="D278" s="155"/>
      <c r="E278" s="155"/>
      <c r="F278" s="155"/>
      <c r="G278" s="155"/>
      <c r="H278" s="168"/>
      <c r="I278" s="168"/>
    </row>
    <row r="279" spans="2:9" ht="15" x14ac:dyDescent="0.2">
      <c r="B279" s="155"/>
      <c r="C279" s="155"/>
      <c r="D279" s="155"/>
      <c r="E279" s="155"/>
      <c r="F279" s="155"/>
      <c r="G279" s="155"/>
      <c r="H279" s="168"/>
      <c r="I279" s="168"/>
    </row>
    <row r="280" spans="2:9" ht="15" x14ac:dyDescent="0.2">
      <c r="B280" s="155"/>
      <c r="C280" s="155"/>
      <c r="D280" s="155"/>
      <c r="E280" s="155"/>
      <c r="F280" s="155"/>
      <c r="G280" s="155"/>
      <c r="H280" s="168"/>
      <c r="I280" s="168"/>
    </row>
    <row r="281" spans="2:9" ht="15" x14ac:dyDescent="0.2">
      <c r="B281" s="155"/>
      <c r="C281" s="155"/>
      <c r="D281" s="155"/>
      <c r="E281" s="155"/>
      <c r="F281" s="155"/>
      <c r="G281" s="155"/>
      <c r="H281" s="168"/>
      <c r="I281" s="168"/>
    </row>
    <row r="282" spans="2:9" ht="15" x14ac:dyDescent="0.2">
      <c r="B282" s="155"/>
      <c r="C282" s="155"/>
      <c r="D282" s="155"/>
      <c r="E282" s="155"/>
      <c r="F282" s="155"/>
      <c r="G282" s="155"/>
      <c r="H282" s="168"/>
      <c r="I282" s="168"/>
    </row>
    <row r="283" spans="2:9" ht="15" x14ac:dyDescent="0.2">
      <c r="B283" s="155"/>
      <c r="C283" s="155"/>
      <c r="D283" s="155"/>
      <c r="E283" s="155"/>
      <c r="F283" s="155"/>
      <c r="G283" s="155"/>
      <c r="H283" s="168"/>
      <c r="I283" s="168"/>
    </row>
    <row r="284" spans="2:9" ht="15" x14ac:dyDescent="0.2">
      <c r="B284" s="155"/>
      <c r="C284" s="155"/>
      <c r="D284" s="155"/>
      <c r="E284" s="155"/>
      <c r="F284" s="155"/>
      <c r="G284" s="155"/>
      <c r="H284" s="168"/>
      <c r="I284" s="168"/>
    </row>
    <row r="285" spans="2:9" ht="15" x14ac:dyDescent="0.2">
      <c r="B285" s="155"/>
      <c r="C285" s="155"/>
      <c r="D285" s="155"/>
      <c r="E285" s="155"/>
      <c r="F285" s="155"/>
      <c r="G285" s="155"/>
      <c r="H285" s="168"/>
      <c r="I285" s="168"/>
    </row>
    <row r="286" spans="2:9" ht="15" x14ac:dyDescent="0.2">
      <c r="B286" s="155"/>
      <c r="C286" s="155"/>
      <c r="D286" s="155"/>
      <c r="E286" s="155"/>
      <c r="F286" s="155"/>
      <c r="G286" s="155"/>
      <c r="H286" s="168"/>
      <c r="I286" s="168"/>
    </row>
    <row r="287" spans="2:9" ht="15" x14ac:dyDescent="0.2">
      <c r="B287" s="155"/>
      <c r="C287" s="155"/>
      <c r="D287" s="155"/>
      <c r="E287" s="155"/>
      <c r="F287" s="155"/>
      <c r="G287" s="155"/>
      <c r="H287" s="168"/>
      <c r="I287" s="168"/>
    </row>
    <row r="288" spans="2:9" ht="15" x14ac:dyDescent="0.2">
      <c r="B288" s="155"/>
      <c r="C288" s="155"/>
      <c r="D288" s="155"/>
      <c r="E288" s="155"/>
      <c r="F288" s="155"/>
      <c r="G288" s="155"/>
      <c r="H288" s="168"/>
      <c r="I288" s="168"/>
    </row>
    <row r="289" spans="2:9" ht="15" x14ac:dyDescent="0.2">
      <c r="B289" s="155"/>
      <c r="C289" s="155"/>
      <c r="D289" s="155"/>
      <c r="E289" s="155"/>
      <c r="F289" s="155"/>
      <c r="G289" s="155"/>
      <c r="H289" s="168"/>
      <c r="I289" s="168"/>
    </row>
    <row r="290" spans="2:9" ht="15" x14ac:dyDescent="0.2">
      <c r="B290" s="155"/>
      <c r="C290" s="155"/>
      <c r="D290" s="155"/>
      <c r="E290" s="155"/>
      <c r="F290" s="155"/>
      <c r="G290" s="155"/>
      <c r="H290" s="168"/>
      <c r="I290" s="168"/>
    </row>
    <row r="291" spans="2:9" ht="15" x14ac:dyDescent="0.2">
      <c r="B291" s="155"/>
      <c r="C291" s="155"/>
      <c r="D291" s="155"/>
      <c r="E291" s="155"/>
      <c r="F291" s="155"/>
      <c r="G291" s="155"/>
      <c r="H291" s="168"/>
      <c r="I291" s="168"/>
    </row>
    <row r="292" spans="2:9" ht="15" x14ac:dyDescent="0.2">
      <c r="B292" s="155"/>
      <c r="C292" s="155"/>
      <c r="D292" s="155"/>
      <c r="E292" s="155"/>
      <c r="F292" s="155"/>
      <c r="G292" s="155"/>
      <c r="H292" s="168"/>
      <c r="I292" s="168"/>
    </row>
    <row r="293" spans="2:9" ht="15" x14ac:dyDescent="0.2">
      <c r="B293" s="155"/>
      <c r="C293" s="155"/>
      <c r="D293" s="155"/>
      <c r="E293" s="155"/>
      <c r="F293" s="155"/>
      <c r="G293" s="155"/>
      <c r="H293" s="168"/>
      <c r="I293" s="168"/>
    </row>
    <row r="294" spans="2:9" ht="15" x14ac:dyDescent="0.2">
      <c r="B294" s="155"/>
      <c r="C294" s="155"/>
      <c r="D294" s="155"/>
      <c r="E294" s="155"/>
      <c r="F294" s="155"/>
      <c r="G294" s="155"/>
      <c r="H294" s="168"/>
      <c r="I294" s="168"/>
    </row>
    <row r="295" spans="2:9" ht="15" x14ac:dyDescent="0.2">
      <c r="B295" s="155"/>
      <c r="C295" s="155"/>
      <c r="D295" s="155"/>
      <c r="E295" s="155"/>
      <c r="F295" s="155"/>
      <c r="G295" s="155"/>
      <c r="H295" s="168"/>
      <c r="I295" s="168"/>
    </row>
    <row r="296" spans="2:9" ht="15" x14ac:dyDescent="0.2">
      <c r="B296" s="155"/>
      <c r="C296" s="155"/>
      <c r="D296" s="155"/>
      <c r="E296" s="155"/>
      <c r="F296" s="155"/>
      <c r="G296" s="155"/>
      <c r="H296" s="168"/>
      <c r="I296" s="168"/>
    </row>
    <row r="297" spans="2:9" ht="15" x14ac:dyDescent="0.2">
      <c r="B297" s="155"/>
      <c r="C297" s="155"/>
      <c r="D297" s="155"/>
      <c r="E297" s="155"/>
      <c r="F297" s="155"/>
      <c r="G297" s="155"/>
      <c r="H297" s="168"/>
      <c r="I297" s="168"/>
    </row>
    <row r="298" spans="2:9" ht="15" x14ac:dyDescent="0.2">
      <c r="B298" s="155"/>
      <c r="C298" s="155"/>
      <c r="D298" s="155"/>
      <c r="E298" s="155"/>
      <c r="F298" s="155"/>
      <c r="G298" s="155"/>
      <c r="H298" s="168"/>
      <c r="I298" s="168"/>
    </row>
    <row r="299" spans="2:9" ht="15" x14ac:dyDescent="0.2">
      <c r="B299" s="155"/>
      <c r="C299" s="155"/>
      <c r="D299" s="155"/>
      <c r="E299" s="155"/>
      <c r="F299" s="155"/>
      <c r="G299" s="155"/>
      <c r="H299" s="168"/>
      <c r="I299" s="168"/>
    </row>
    <row r="300" spans="2:9" ht="15" x14ac:dyDescent="0.2">
      <c r="B300" s="155"/>
      <c r="C300" s="155"/>
      <c r="D300" s="155"/>
      <c r="E300" s="155"/>
      <c r="F300" s="155"/>
      <c r="G300" s="155"/>
      <c r="H300" s="168"/>
      <c r="I300" s="168"/>
    </row>
    <row r="301" spans="2:9" ht="15" x14ac:dyDescent="0.2">
      <c r="B301" s="155"/>
      <c r="C301" s="155"/>
      <c r="D301" s="155"/>
      <c r="E301" s="155"/>
      <c r="F301" s="155"/>
      <c r="G301" s="155"/>
      <c r="H301" s="168"/>
      <c r="I301" s="168"/>
    </row>
    <row r="302" spans="2:9" ht="15" x14ac:dyDescent="0.2">
      <c r="B302" s="155"/>
      <c r="C302" s="155"/>
      <c r="D302" s="155"/>
      <c r="E302" s="155"/>
      <c r="F302" s="155"/>
      <c r="G302" s="155"/>
      <c r="H302" s="168"/>
      <c r="I302" s="168"/>
    </row>
    <row r="303" spans="2:9" ht="15" x14ac:dyDescent="0.2">
      <c r="B303" s="155"/>
      <c r="C303" s="155"/>
      <c r="D303" s="155"/>
      <c r="E303" s="155"/>
      <c r="F303" s="155"/>
      <c r="G303" s="155"/>
      <c r="H303" s="168"/>
      <c r="I303" s="168"/>
    </row>
    <row r="304" spans="2:9" ht="15" x14ac:dyDescent="0.2">
      <c r="B304" s="155"/>
      <c r="C304" s="155"/>
      <c r="D304" s="155"/>
      <c r="E304" s="155"/>
      <c r="F304" s="155"/>
      <c r="G304" s="155"/>
      <c r="H304" s="168"/>
      <c r="I304" s="168"/>
    </row>
    <row r="305" spans="2:9" ht="15" x14ac:dyDescent="0.2">
      <c r="B305" s="155"/>
      <c r="C305" s="155"/>
      <c r="D305" s="155"/>
      <c r="E305" s="155"/>
      <c r="F305" s="155"/>
      <c r="G305" s="155"/>
      <c r="H305" s="168"/>
      <c r="I305" s="168"/>
    </row>
    <row r="306" spans="2:9" ht="15" x14ac:dyDescent="0.2">
      <c r="B306" s="155"/>
      <c r="C306" s="155"/>
      <c r="D306" s="155"/>
      <c r="E306" s="155"/>
      <c r="F306" s="155"/>
      <c r="G306" s="155"/>
      <c r="H306" s="168"/>
      <c r="I306" s="168"/>
    </row>
    <row r="307" spans="2:9" ht="15" x14ac:dyDescent="0.2">
      <c r="B307" s="155"/>
      <c r="C307" s="155"/>
      <c r="D307" s="155"/>
      <c r="E307" s="155"/>
      <c r="F307" s="155"/>
      <c r="G307" s="155"/>
      <c r="H307" s="168"/>
      <c r="I307" s="168"/>
    </row>
    <row r="308" spans="2:9" ht="15" x14ac:dyDescent="0.2">
      <c r="B308" s="155"/>
      <c r="C308" s="155"/>
      <c r="D308" s="155"/>
      <c r="E308" s="155"/>
      <c r="F308" s="155"/>
      <c r="G308" s="155"/>
      <c r="H308" s="168"/>
      <c r="I308" s="168"/>
    </row>
    <row r="309" spans="2:9" ht="15" x14ac:dyDescent="0.2">
      <c r="B309" s="155"/>
      <c r="C309" s="155"/>
      <c r="D309" s="155"/>
      <c r="E309" s="155"/>
      <c r="F309" s="155"/>
      <c r="G309" s="155"/>
      <c r="H309" s="168"/>
      <c r="I309" s="168"/>
    </row>
    <row r="310" spans="2:9" ht="15" x14ac:dyDescent="0.2">
      <c r="B310" s="155"/>
      <c r="C310" s="155"/>
      <c r="D310" s="155"/>
      <c r="E310" s="155"/>
      <c r="F310" s="155"/>
      <c r="G310" s="155"/>
      <c r="H310" s="168"/>
      <c r="I310" s="168"/>
    </row>
    <row r="311" spans="2:9" ht="15" x14ac:dyDescent="0.2">
      <c r="B311" s="155"/>
      <c r="C311" s="155"/>
      <c r="D311" s="155"/>
      <c r="E311" s="155"/>
      <c r="F311" s="155"/>
      <c r="G311" s="155"/>
      <c r="H311" s="168"/>
      <c r="I311" s="168"/>
    </row>
    <row r="312" spans="2:9" ht="15" x14ac:dyDescent="0.2">
      <c r="B312" s="155"/>
      <c r="C312" s="155"/>
      <c r="D312" s="155"/>
      <c r="E312" s="155"/>
      <c r="F312" s="155"/>
      <c r="G312" s="155"/>
      <c r="H312" s="168"/>
      <c r="I312" s="168"/>
    </row>
    <row r="313" spans="2:9" ht="15" x14ac:dyDescent="0.2">
      <c r="B313" s="155"/>
      <c r="C313" s="155"/>
      <c r="D313" s="155"/>
      <c r="E313" s="155"/>
      <c r="F313" s="155"/>
      <c r="G313" s="155"/>
      <c r="H313" s="168"/>
      <c r="I313" s="168"/>
    </row>
    <row r="314" spans="2:9" ht="15" x14ac:dyDescent="0.2">
      <c r="B314" s="155"/>
      <c r="C314" s="155"/>
      <c r="D314" s="155"/>
      <c r="E314" s="155"/>
      <c r="F314" s="155"/>
      <c r="G314" s="155"/>
      <c r="H314" s="168"/>
      <c r="I314" s="168"/>
    </row>
    <row r="315" spans="2:9" ht="15" x14ac:dyDescent="0.2">
      <c r="B315" s="155"/>
      <c r="C315" s="155"/>
      <c r="D315" s="155"/>
      <c r="E315" s="155"/>
      <c r="F315" s="155"/>
      <c r="G315" s="155"/>
      <c r="H315" s="168"/>
      <c r="I315" s="168"/>
    </row>
    <row r="316" spans="2:9" ht="15" x14ac:dyDescent="0.2">
      <c r="B316" s="155"/>
      <c r="C316" s="155"/>
      <c r="D316" s="155"/>
      <c r="E316" s="155"/>
      <c r="F316" s="155"/>
      <c r="G316" s="155"/>
      <c r="H316" s="168"/>
      <c r="I316" s="168"/>
    </row>
    <row r="317" spans="2:9" ht="15" x14ac:dyDescent="0.2">
      <c r="B317" s="155"/>
      <c r="C317" s="155"/>
      <c r="D317" s="155"/>
      <c r="E317" s="155"/>
      <c r="F317" s="155"/>
      <c r="G317" s="155"/>
      <c r="H317" s="168"/>
      <c r="I317" s="168"/>
    </row>
    <row r="318" spans="2:9" ht="15" x14ac:dyDescent="0.2">
      <c r="B318" s="155"/>
      <c r="C318" s="155"/>
      <c r="D318" s="155"/>
      <c r="E318" s="155"/>
      <c r="F318" s="155"/>
      <c r="G318" s="155"/>
      <c r="H318" s="168"/>
      <c r="I318" s="168"/>
    </row>
    <row r="319" spans="2:9" ht="15" x14ac:dyDescent="0.2">
      <c r="B319" s="155"/>
      <c r="C319" s="155"/>
      <c r="D319" s="155"/>
      <c r="E319" s="155"/>
      <c r="F319" s="155"/>
      <c r="G319" s="155"/>
      <c r="H319" s="168"/>
      <c r="I319" s="168"/>
    </row>
    <row r="320" spans="2:9" ht="15" x14ac:dyDescent="0.2">
      <c r="B320" s="155"/>
      <c r="C320" s="155"/>
      <c r="D320" s="155"/>
      <c r="E320" s="155"/>
      <c r="F320" s="155"/>
      <c r="G320" s="155"/>
      <c r="H320" s="168"/>
      <c r="I320" s="168"/>
    </row>
    <row r="321" spans="2:9" ht="15" x14ac:dyDescent="0.2">
      <c r="B321" s="155"/>
      <c r="C321" s="155"/>
      <c r="D321" s="155"/>
      <c r="E321" s="155"/>
      <c r="F321" s="155"/>
      <c r="G321" s="155"/>
      <c r="H321" s="168"/>
      <c r="I321" s="168"/>
    </row>
    <row r="322" spans="2:9" ht="15" x14ac:dyDescent="0.2">
      <c r="B322" s="155"/>
      <c r="C322" s="155"/>
      <c r="D322" s="155"/>
      <c r="E322" s="155"/>
      <c r="F322" s="155"/>
      <c r="G322" s="155"/>
      <c r="H322" s="168"/>
      <c r="I322" s="168"/>
    </row>
    <row r="323" spans="2:9" ht="15" x14ac:dyDescent="0.2">
      <c r="B323" s="155"/>
      <c r="C323" s="155"/>
      <c r="D323" s="155"/>
      <c r="E323" s="155"/>
      <c r="F323" s="155"/>
      <c r="G323" s="155"/>
      <c r="H323" s="168"/>
      <c r="I323" s="168"/>
    </row>
    <row r="324" spans="2:9" ht="15" x14ac:dyDescent="0.2">
      <c r="B324" s="155"/>
      <c r="C324" s="155"/>
      <c r="D324" s="155"/>
      <c r="E324" s="155"/>
      <c r="F324" s="155"/>
      <c r="G324" s="155"/>
      <c r="H324" s="168"/>
      <c r="I324" s="168"/>
    </row>
    <row r="325" spans="2:9" ht="15" x14ac:dyDescent="0.2">
      <c r="B325" s="155"/>
      <c r="C325" s="155"/>
      <c r="D325" s="155"/>
      <c r="E325" s="155"/>
      <c r="F325" s="155"/>
      <c r="G325" s="155"/>
      <c r="H325" s="168"/>
      <c r="I325" s="168"/>
    </row>
    <row r="326" spans="2:9" ht="15" x14ac:dyDescent="0.2">
      <c r="B326" s="155"/>
      <c r="C326" s="155"/>
      <c r="D326" s="155"/>
      <c r="E326" s="155"/>
      <c r="F326" s="155"/>
      <c r="G326" s="155"/>
      <c r="H326" s="168"/>
      <c r="I326" s="168"/>
    </row>
    <row r="327" spans="2:9" ht="15" x14ac:dyDescent="0.2">
      <c r="B327" s="155"/>
      <c r="C327" s="155"/>
      <c r="D327" s="155"/>
      <c r="E327" s="155"/>
      <c r="F327" s="155"/>
      <c r="G327" s="155"/>
      <c r="H327" s="168"/>
      <c r="I327" s="168"/>
    </row>
    <row r="328" spans="2:9" ht="15" x14ac:dyDescent="0.2">
      <c r="B328" s="155"/>
      <c r="C328" s="155"/>
      <c r="D328" s="155"/>
      <c r="E328" s="155"/>
      <c r="F328" s="155"/>
      <c r="G328" s="155"/>
      <c r="H328" s="168"/>
      <c r="I328" s="168"/>
    </row>
    <row r="329" spans="2:9" x14ac:dyDescent="0.2">
      <c r="B329" s="155"/>
      <c r="C329" s="155"/>
      <c r="D329" s="155"/>
      <c r="E329" s="155"/>
      <c r="F329" s="155"/>
      <c r="G329" s="155"/>
    </row>
    <row r="330" spans="2:9" x14ac:dyDescent="0.2">
      <c r="B330" s="155"/>
      <c r="C330" s="155"/>
      <c r="D330" s="155"/>
      <c r="E330" s="155"/>
      <c r="F330" s="155"/>
      <c r="G330" s="155"/>
    </row>
    <row r="331" spans="2:9" x14ac:dyDescent="0.2">
      <c r="B331" s="155"/>
      <c r="C331" s="155"/>
      <c r="D331" s="155"/>
      <c r="E331" s="155"/>
      <c r="F331" s="155"/>
      <c r="G331" s="155"/>
    </row>
    <row r="332" spans="2:9" x14ac:dyDescent="0.2">
      <c r="B332" s="155"/>
      <c r="C332" s="155"/>
      <c r="D332" s="155"/>
      <c r="E332" s="155"/>
      <c r="F332" s="155"/>
      <c r="G332" s="155"/>
    </row>
    <row r="333" spans="2:9" x14ac:dyDescent="0.2">
      <c r="B333" s="155"/>
      <c r="C333" s="155"/>
      <c r="D333" s="155"/>
      <c r="E333" s="155"/>
      <c r="F333" s="155"/>
      <c r="G333" s="155"/>
    </row>
    <row r="334" spans="2:9" x14ac:dyDescent="0.2">
      <c r="B334" s="155"/>
      <c r="C334" s="155"/>
      <c r="D334" s="155"/>
      <c r="E334" s="155"/>
      <c r="F334" s="155"/>
      <c r="G334" s="155"/>
    </row>
    <row r="335" spans="2:9" x14ac:dyDescent="0.2">
      <c r="B335" s="155"/>
      <c r="C335" s="155"/>
      <c r="D335" s="155"/>
      <c r="E335" s="155"/>
      <c r="F335" s="155"/>
      <c r="G335" s="155"/>
    </row>
    <row r="336" spans="2:9" x14ac:dyDescent="0.2">
      <c r="B336" s="155"/>
      <c r="C336" s="155"/>
      <c r="D336" s="155"/>
      <c r="E336" s="155"/>
      <c r="F336" s="155"/>
      <c r="G336" s="155"/>
    </row>
    <row r="337" spans="2:7" x14ac:dyDescent="0.2">
      <c r="B337" s="155"/>
      <c r="C337" s="155"/>
      <c r="D337" s="155"/>
      <c r="E337" s="155"/>
      <c r="F337" s="155"/>
      <c r="G337" s="155"/>
    </row>
    <row r="338" spans="2:7" x14ac:dyDescent="0.2">
      <c r="B338" s="155"/>
      <c r="C338" s="155"/>
      <c r="D338" s="155"/>
      <c r="E338" s="155"/>
      <c r="F338" s="155"/>
      <c r="G338" s="155"/>
    </row>
    <row r="339" spans="2:7" x14ac:dyDescent="0.2">
      <c r="B339" s="155"/>
      <c r="C339" s="155"/>
      <c r="D339" s="155"/>
      <c r="E339" s="155"/>
      <c r="F339" s="155"/>
      <c r="G339" s="155"/>
    </row>
    <row r="340" spans="2:7" x14ac:dyDescent="0.2">
      <c r="B340" s="155"/>
      <c r="C340" s="155"/>
      <c r="D340" s="155"/>
      <c r="E340" s="155"/>
      <c r="F340" s="155"/>
      <c r="G340" s="155"/>
    </row>
    <row r="341" spans="2:7" x14ac:dyDescent="0.2">
      <c r="B341" s="155"/>
      <c r="C341" s="155"/>
      <c r="D341" s="155"/>
      <c r="E341" s="155"/>
      <c r="F341" s="155"/>
      <c r="G341" s="155"/>
    </row>
    <row r="342" spans="2:7" x14ac:dyDescent="0.2">
      <c r="B342" s="155"/>
      <c r="C342" s="155"/>
      <c r="D342" s="155"/>
      <c r="E342" s="155"/>
      <c r="F342" s="155"/>
      <c r="G342" s="155"/>
    </row>
    <row r="343" spans="2:7" x14ac:dyDescent="0.2">
      <c r="B343" s="155"/>
      <c r="C343" s="155"/>
      <c r="D343" s="155"/>
      <c r="E343" s="155"/>
      <c r="F343" s="155"/>
      <c r="G343" s="155"/>
    </row>
    <row r="344" spans="2:7" x14ac:dyDescent="0.2">
      <c r="B344" s="155"/>
      <c r="C344" s="155"/>
      <c r="D344" s="155"/>
      <c r="E344" s="155"/>
      <c r="F344" s="155"/>
      <c r="G344" s="155"/>
    </row>
    <row r="345" spans="2:7" x14ac:dyDescent="0.2">
      <c r="B345" s="155"/>
      <c r="C345" s="155"/>
      <c r="D345" s="155"/>
      <c r="E345" s="155"/>
      <c r="F345" s="155"/>
      <c r="G345" s="155"/>
    </row>
    <row r="346" spans="2:7" x14ac:dyDescent="0.2">
      <c r="B346" s="155"/>
      <c r="C346" s="155"/>
      <c r="D346" s="155"/>
      <c r="E346" s="155"/>
      <c r="F346" s="155"/>
      <c r="G346" s="155"/>
    </row>
    <row r="347" spans="2:7" x14ac:dyDescent="0.2">
      <c r="B347" s="155"/>
      <c r="C347" s="155"/>
      <c r="D347" s="155"/>
      <c r="E347" s="155"/>
      <c r="F347" s="155"/>
      <c r="G347" s="155"/>
    </row>
    <row r="348" spans="2:7" x14ac:dyDescent="0.2">
      <c r="B348" s="155"/>
      <c r="C348" s="155"/>
      <c r="D348" s="155"/>
      <c r="E348" s="155"/>
      <c r="F348" s="155"/>
      <c r="G348" s="155"/>
    </row>
    <row r="349" spans="2:7" x14ac:dyDescent="0.2">
      <c r="B349" s="155"/>
      <c r="C349" s="155"/>
      <c r="D349" s="155"/>
      <c r="E349" s="155"/>
      <c r="F349" s="155"/>
      <c r="G349" s="155"/>
    </row>
    <row r="350" spans="2:7" x14ac:dyDescent="0.2">
      <c r="B350" s="155"/>
      <c r="C350" s="155"/>
      <c r="D350" s="155"/>
      <c r="E350" s="155"/>
      <c r="F350" s="155"/>
      <c r="G350" s="155"/>
    </row>
    <row r="351" spans="2:7" x14ac:dyDescent="0.2">
      <c r="B351" s="155"/>
      <c r="C351" s="155"/>
      <c r="D351" s="155"/>
      <c r="E351" s="155"/>
      <c r="F351" s="155"/>
      <c r="G351" s="155"/>
    </row>
    <row r="352" spans="2:7" x14ac:dyDescent="0.2">
      <c r="B352" s="155"/>
      <c r="C352" s="155"/>
      <c r="D352" s="155"/>
      <c r="E352" s="155"/>
      <c r="F352" s="155"/>
      <c r="G352" s="155"/>
    </row>
    <row r="353" spans="2:7" x14ac:dyDescent="0.2">
      <c r="B353" s="155"/>
      <c r="C353" s="155"/>
      <c r="D353" s="155"/>
      <c r="E353" s="155"/>
      <c r="F353" s="155"/>
      <c r="G353" s="155"/>
    </row>
    <row r="354" spans="2:7" x14ac:dyDescent="0.2">
      <c r="B354" s="155"/>
      <c r="C354" s="155"/>
      <c r="D354" s="155"/>
      <c r="E354" s="155"/>
      <c r="F354" s="155"/>
      <c r="G354" s="155"/>
    </row>
    <row r="355" spans="2:7" x14ac:dyDescent="0.2">
      <c r="B355" s="155"/>
      <c r="C355" s="155"/>
      <c r="D355" s="155"/>
      <c r="E355" s="155"/>
      <c r="F355" s="155"/>
      <c r="G355" s="155"/>
    </row>
    <row r="356" spans="2:7" x14ac:dyDescent="0.2">
      <c r="B356" s="155"/>
      <c r="C356" s="155"/>
      <c r="D356" s="155"/>
      <c r="E356" s="155"/>
      <c r="F356" s="155"/>
      <c r="G356" s="155"/>
    </row>
    <row r="357" spans="2:7" x14ac:dyDescent="0.2">
      <c r="B357" s="155"/>
      <c r="C357" s="155"/>
      <c r="D357" s="155"/>
      <c r="E357" s="155"/>
      <c r="F357" s="155"/>
      <c r="G357" s="155"/>
    </row>
    <row r="358" spans="2:7" x14ac:dyDescent="0.2">
      <c r="B358" s="155"/>
      <c r="C358" s="155"/>
      <c r="D358" s="155"/>
      <c r="E358" s="155"/>
      <c r="F358" s="155"/>
      <c r="G358" s="155"/>
    </row>
    <row r="359" spans="2:7" x14ac:dyDescent="0.2">
      <c r="B359" s="155"/>
      <c r="C359" s="155"/>
      <c r="D359" s="155"/>
      <c r="E359" s="155"/>
      <c r="F359" s="155"/>
      <c r="G359" s="155"/>
    </row>
    <row r="360" spans="2:7" x14ac:dyDescent="0.2">
      <c r="B360" s="155"/>
      <c r="C360" s="155"/>
      <c r="D360" s="155"/>
      <c r="E360" s="155"/>
      <c r="F360" s="155"/>
      <c r="G360" s="155"/>
    </row>
    <row r="361" spans="2:7" x14ac:dyDescent="0.2">
      <c r="B361" s="155"/>
      <c r="C361" s="155"/>
      <c r="D361" s="155"/>
      <c r="E361" s="155"/>
      <c r="F361" s="155"/>
      <c r="G361" s="155"/>
    </row>
    <row r="362" spans="2:7" x14ac:dyDescent="0.2">
      <c r="B362" s="155"/>
      <c r="C362" s="155"/>
      <c r="D362" s="155"/>
      <c r="E362" s="155"/>
      <c r="F362" s="155"/>
      <c r="G362" s="155"/>
    </row>
    <row r="363" spans="2:7" x14ac:dyDescent="0.2">
      <c r="B363" s="155"/>
      <c r="C363" s="155"/>
      <c r="D363" s="155"/>
      <c r="E363" s="155"/>
      <c r="F363" s="155"/>
      <c r="G363" s="155"/>
    </row>
    <row r="364" spans="2:7" x14ac:dyDescent="0.2">
      <c r="B364" s="155"/>
      <c r="C364" s="155"/>
      <c r="D364" s="155"/>
      <c r="E364" s="155"/>
      <c r="F364" s="155"/>
      <c r="G364" s="155"/>
    </row>
    <row r="365" spans="2:7" x14ac:dyDescent="0.2">
      <c r="B365" s="155"/>
      <c r="C365" s="155"/>
      <c r="D365" s="155"/>
      <c r="E365" s="155"/>
      <c r="F365" s="155"/>
      <c r="G365" s="155"/>
    </row>
    <row r="366" spans="2:7" x14ac:dyDescent="0.2">
      <c r="B366" s="155"/>
      <c r="C366" s="155"/>
      <c r="D366" s="155"/>
      <c r="E366" s="155"/>
      <c r="F366" s="155"/>
      <c r="G366" s="155"/>
    </row>
    <row r="367" spans="2:7" x14ac:dyDescent="0.2">
      <c r="B367" s="155"/>
      <c r="C367" s="155"/>
      <c r="D367" s="155"/>
      <c r="E367" s="155"/>
      <c r="F367" s="155"/>
      <c r="G367" s="155"/>
    </row>
    <row r="368" spans="2:7" x14ac:dyDescent="0.2">
      <c r="B368" s="155"/>
      <c r="C368" s="155"/>
      <c r="D368" s="155"/>
      <c r="E368" s="155"/>
      <c r="F368" s="155"/>
      <c r="G368" s="155"/>
    </row>
    <row r="369" spans="2:7" x14ac:dyDescent="0.2">
      <c r="B369" s="155"/>
      <c r="C369" s="155"/>
      <c r="D369" s="155"/>
      <c r="E369" s="155"/>
      <c r="F369" s="155"/>
      <c r="G369" s="155"/>
    </row>
    <row r="370" spans="2:7" x14ac:dyDescent="0.2">
      <c r="B370" s="155"/>
      <c r="C370" s="155"/>
      <c r="D370" s="155"/>
      <c r="E370" s="155"/>
      <c r="F370" s="155"/>
      <c r="G370" s="155"/>
    </row>
    <row r="371" spans="2:7" x14ac:dyDescent="0.2">
      <c r="B371" s="155"/>
      <c r="C371" s="155"/>
      <c r="D371" s="155"/>
      <c r="E371" s="155"/>
      <c r="F371" s="155"/>
      <c r="G371" s="155"/>
    </row>
    <row r="372" spans="2:7" x14ac:dyDescent="0.2">
      <c r="B372" s="155"/>
      <c r="C372" s="155"/>
      <c r="D372" s="155"/>
      <c r="E372" s="155"/>
      <c r="F372" s="155"/>
      <c r="G372" s="155"/>
    </row>
    <row r="373" spans="2:7" x14ac:dyDescent="0.2">
      <c r="B373" s="155"/>
      <c r="C373" s="155"/>
      <c r="D373" s="155"/>
      <c r="E373" s="155"/>
      <c r="F373" s="155"/>
      <c r="G373" s="155"/>
    </row>
    <row r="374" spans="2:7" x14ac:dyDescent="0.2">
      <c r="B374" s="155"/>
      <c r="C374" s="155"/>
      <c r="D374" s="155"/>
      <c r="E374" s="155"/>
      <c r="F374" s="155"/>
      <c r="G374" s="155"/>
    </row>
    <row r="375" spans="2:7" x14ac:dyDescent="0.2">
      <c r="B375" s="155"/>
      <c r="C375" s="155"/>
      <c r="D375" s="155"/>
      <c r="E375" s="155"/>
      <c r="F375" s="155"/>
      <c r="G375" s="155"/>
    </row>
    <row r="376" spans="2:7" x14ac:dyDescent="0.2">
      <c r="B376" s="155"/>
      <c r="C376" s="155"/>
      <c r="D376" s="155"/>
      <c r="E376" s="155"/>
      <c r="F376" s="155"/>
      <c r="G376" s="155"/>
    </row>
    <row r="377" spans="2:7" x14ac:dyDescent="0.2">
      <c r="B377" s="155"/>
      <c r="C377" s="155"/>
      <c r="D377" s="155"/>
      <c r="E377" s="155"/>
      <c r="F377" s="155"/>
      <c r="G377" s="155"/>
    </row>
    <row r="378" spans="2:7" x14ac:dyDescent="0.2">
      <c r="B378" s="155"/>
      <c r="C378" s="155"/>
      <c r="D378" s="155"/>
      <c r="E378" s="155"/>
      <c r="F378" s="155"/>
      <c r="G378" s="155"/>
    </row>
    <row r="379" spans="2:7" x14ac:dyDescent="0.2">
      <c r="B379" s="155"/>
      <c r="C379" s="155"/>
      <c r="D379" s="155"/>
      <c r="E379" s="155"/>
      <c r="F379" s="155"/>
      <c r="G379" s="155"/>
    </row>
    <row r="380" spans="2:7" x14ac:dyDescent="0.2">
      <c r="B380" s="155"/>
      <c r="C380" s="155"/>
      <c r="D380" s="155"/>
      <c r="E380" s="155"/>
      <c r="F380" s="155"/>
      <c r="G380" s="155"/>
    </row>
    <row r="381" spans="2:7" x14ac:dyDescent="0.2">
      <c r="B381" s="155"/>
      <c r="C381" s="155"/>
      <c r="D381" s="155"/>
      <c r="E381" s="155"/>
      <c r="F381" s="155"/>
      <c r="G381" s="155"/>
    </row>
    <row r="382" spans="2:7" x14ac:dyDescent="0.2">
      <c r="B382" s="155"/>
      <c r="C382" s="155"/>
      <c r="D382" s="155"/>
      <c r="E382" s="155"/>
      <c r="F382" s="155"/>
      <c r="G382" s="155"/>
    </row>
    <row r="383" spans="2:7" x14ac:dyDescent="0.2">
      <c r="B383" s="155"/>
      <c r="C383" s="155"/>
      <c r="D383" s="155"/>
      <c r="E383" s="155"/>
      <c r="F383" s="155"/>
      <c r="G383" s="155"/>
    </row>
    <row r="384" spans="2:7" x14ac:dyDescent="0.2">
      <c r="B384" s="155"/>
      <c r="C384" s="155"/>
      <c r="D384" s="155"/>
      <c r="E384" s="155"/>
      <c r="F384" s="155"/>
      <c r="G384" s="155"/>
    </row>
    <row r="385" spans="2:7" x14ac:dyDescent="0.2">
      <c r="B385" s="155"/>
      <c r="C385" s="155"/>
      <c r="D385" s="155"/>
      <c r="E385" s="155"/>
      <c r="F385" s="155"/>
      <c r="G385" s="155"/>
    </row>
    <row r="386" spans="2:7" x14ac:dyDescent="0.2">
      <c r="B386" s="155"/>
      <c r="C386" s="155"/>
      <c r="D386" s="155"/>
      <c r="E386" s="155"/>
      <c r="F386" s="155"/>
      <c r="G386" s="155"/>
    </row>
    <row r="387" spans="2:7" x14ac:dyDescent="0.2">
      <c r="B387" s="155"/>
      <c r="C387" s="155"/>
      <c r="D387" s="155"/>
      <c r="E387" s="155"/>
      <c r="F387" s="155"/>
      <c r="G387" s="155"/>
    </row>
    <row r="388" spans="2:7" x14ac:dyDescent="0.2">
      <c r="B388" s="155"/>
      <c r="C388" s="155"/>
      <c r="D388" s="155"/>
      <c r="E388" s="155"/>
      <c r="F388" s="155"/>
      <c r="G388" s="155"/>
    </row>
    <row r="389" spans="2:7" x14ac:dyDescent="0.2">
      <c r="B389" s="155"/>
      <c r="C389" s="155"/>
      <c r="D389" s="155"/>
      <c r="E389" s="155"/>
      <c r="F389" s="155"/>
      <c r="G389" s="155"/>
    </row>
    <row r="390" spans="2:7" x14ac:dyDescent="0.2">
      <c r="B390" s="155"/>
      <c r="C390" s="155"/>
      <c r="D390" s="155"/>
      <c r="E390" s="155"/>
      <c r="F390" s="155"/>
      <c r="G390" s="155"/>
    </row>
    <row r="391" spans="2:7" x14ac:dyDescent="0.2">
      <c r="B391" s="155"/>
      <c r="C391" s="155"/>
      <c r="D391" s="155"/>
      <c r="E391" s="155"/>
      <c r="F391" s="155"/>
      <c r="G391" s="155"/>
    </row>
    <row r="392" spans="2:7" x14ac:dyDescent="0.2">
      <c r="B392" s="155"/>
      <c r="C392" s="155"/>
      <c r="D392" s="155"/>
      <c r="E392" s="155"/>
      <c r="F392" s="155"/>
      <c r="G392" s="155"/>
    </row>
    <row r="393" spans="2:7" x14ac:dyDescent="0.2">
      <c r="B393" s="155"/>
      <c r="C393" s="155"/>
      <c r="D393" s="155"/>
      <c r="E393" s="155"/>
      <c r="F393" s="155"/>
      <c r="G393" s="155"/>
    </row>
    <row r="394" spans="2:7" x14ac:dyDescent="0.2">
      <c r="B394" s="155"/>
      <c r="C394" s="155"/>
      <c r="D394" s="155"/>
      <c r="E394" s="155"/>
      <c r="F394" s="155"/>
      <c r="G394" s="155"/>
    </row>
    <row r="395" spans="2:7" x14ac:dyDescent="0.2">
      <c r="B395" s="155"/>
      <c r="C395" s="155"/>
      <c r="D395" s="155"/>
      <c r="E395" s="155"/>
      <c r="F395" s="155"/>
      <c r="G395" s="155"/>
    </row>
    <row r="396" spans="2:7" x14ac:dyDescent="0.2">
      <c r="B396" s="155"/>
      <c r="C396" s="155"/>
      <c r="D396" s="155"/>
      <c r="E396" s="155"/>
      <c r="F396" s="155"/>
      <c r="G396" s="155"/>
    </row>
    <row r="397" spans="2:7" x14ac:dyDescent="0.2">
      <c r="B397" s="155"/>
      <c r="C397" s="155"/>
      <c r="D397" s="155"/>
      <c r="E397" s="155"/>
      <c r="F397" s="155"/>
      <c r="G397" s="155"/>
    </row>
    <row r="398" spans="2:7" x14ac:dyDescent="0.2">
      <c r="B398" s="155"/>
      <c r="C398" s="155"/>
      <c r="D398" s="155"/>
      <c r="E398" s="155"/>
      <c r="F398" s="155"/>
      <c r="G398" s="155"/>
    </row>
    <row r="399" spans="2:7" x14ac:dyDescent="0.2">
      <c r="B399" s="155"/>
      <c r="C399" s="155"/>
      <c r="D399" s="155"/>
      <c r="E399" s="155"/>
      <c r="F399" s="155"/>
      <c r="G399" s="155"/>
    </row>
    <row r="400" spans="2:7" x14ac:dyDescent="0.2">
      <c r="B400" s="155"/>
      <c r="C400" s="155"/>
      <c r="D400" s="155"/>
      <c r="E400" s="155"/>
      <c r="F400" s="155"/>
      <c r="G400" s="155"/>
    </row>
    <row r="401" spans="2:7" x14ac:dyDescent="0.2">
      <c r="B401" s="155"/>
      <c r="C401" s="155"/>
      <c r="D401" s="155"/>
      <c r="E401" s="155"/>
      <c r="F401" s="155"/>
      <c r="G401" s="155"/>
    </row>
    <row r="402" spans="2:7" x14ac:dyDescent="0.2">
      <c r="B402" s="155"/>
      <c r="C402" s="155"/>
      <c r="D402" s="155"/>
      <c r="E402" s="155"/>
      <c r="F402" s="155"/>
      <c r="G402" s="155"/>
    </row>
    <row r="403" spans="2:7" x14ac:dyDescent="0.2">
      <c r="B403" s="155"/>
      <c r="C403" s="155"/>
      <c r="D403" s="155"/>
      <c r="E403" s="155"/>
      <c r="F403" s="155"/>
      <c r="G403" s="155"/>
    </row>
    <row r="404" spans="2:7" x14ac:dyDescent="0.2">
      <c r="B404" s="155"/>
      <c r="C404" s="155"/>
      <c r="D404" s="155"/>
      <c r="E404" s="155"/>
      <c r="F404" s="155"/>
      <c r="G404" s="155"/>
    </row>
    <row r="405" spans="2:7" x14ac:dyDescent="0.2">
      <c r="B405" s="155"/>
      <c r="C405" s="155"/>
      <c r="D405" s="155"/>
      <c r="E405" s="155"/>
      <c r="F405" s="155"/>
      <c r="G405" s="155"/>
    </row>
    <row r="406" spans="2:7" x14ac:dyDescent="0.2">
      <c r="B406" s="155"/>
      <c r="C406" s="155"/>
      <c r="D406" s="155"/>
      <c r="E406" s="155"/>
      <c r="F406" s="155"/>
      <c r="G406" s="155"/>
    </row>
    <row r="407" spans="2:7" x14ac:dyDescent="0.2">
      <c r="B407" s="155"/>
      <c r="C407" s="155"/>
      <c r="D407" s="155"/>
      <c r="E407" s="155"/>
      <c r="F407" s="155"/>
      <c r="G407" s="155"/>
    </row>
    <row r="408" spans="2:7" x14ac:dyDescent="0.2">
      <c r="B408" s="155"/>
      <c r="C408" s="155"/>
      <c r="D408" s="155"/>
      <c r="E408" s="155"/>
      <c r="F408" s="155"/>
      <c r="G408" s="155"/>
    </row>
    <row r="409" spans="2:7" x14ac:dyDescent="0.2">
      <c r="B409" s="155"/>
      <c r="C409" s="155"/>
      <c r="D409" s="155"/>
      <c r="E409" s="155"/>
      <c r="F409" s="155"/>
      <c r="G409" s="155"/>
    </row>
    <row r="410" spans="2:7" x14ac:dyDescent="0.2">
      <c r="B410" s="155"/>
      <c r="C410" s="155"/>
      <c r="D410" s="155"/>
      <c r="E410" s="155"/>
      <c r="F410" s="155"/>
      <c r="G410" s="155"/>
    </row>
    <row r="411" spans="2:7" x14ac:dyDescent="0.2">
      <c r="B411" s="155"/>
      <c r="C411" s="155"/>
      <c r="D411" s="155"/>
      <c r="E411" s="155"/>
      <c r="F411" s="155"/>
      <c r="G411" s="155"/>
    </row>
    <row r="412" spans="2:7" x14ac:dyDescent="0.2">
      <c r="B412" s="155"/>
      <c r="C412" s="155"/>
      <c r="D412" s="155"/>
      <c r="E412" s="155"/>
      <c r="F412" s="155"/>
      <c r="G412" s="155"/>
    </row>
    <row r="413" spans="2:7" x14ac:dyDescent="0.2">
      <c r="B413" s="155"/>
      <c r="C413" s="155"/>
      <c r="D413" s="155"/>
      <c r="E413" s="155"/>
      <c r="F413" s="155"/>
      <c r="G413" s="155"/>
    </row>
    <row r="414" spans="2:7" x14ac:dyDescent="0.2">
      <c r="B414" s="155"/>
      <c r="C414" s="155"/>
      <c r="D414" s="155"/>
      <c r="E414" s="155"/>
      <c r="F414" s="155"/>
      <c r="G414" s="155"/>
    </row>
    <row r="415" spans="2:7" x14ac:dyDescent="0.2">
      <c r="B415" s="155"/>
      <c r="C415" s="155"/>
      <c r="D415" s="155"/>
      <c r="E415" s="155"/>
      <c r="F415" s="155"/>
      <c r="G415" s="155"/>
    </row>
    <row r="416" spans="2:7" x14ac:dyDescent="0.2">
      <c r="B416" s="155"/>
      <c r="C416" s="155"/>
      <c r="D416" s="155"/>
      <c r="E416" s="155"/>
      <c r="F416" s="155"/>
      <c r="G416" s="155"/>
    </row>
    <row r="417" spans="2:7" x14ac:dyDescent="0.2">
      <c r="B417" s="155"/>
      <c r="C417" s="155"/>
      <c r="D417" s="155"/>
      <c r="E417" s="155"/>
      <c r="F417" s="155"/>
      <c r="G417" s="155"/>
    </row>
    <row r="418" spans="2:7" x14ac:dyDescent="0.2">
      <c r="B418" s="155"/>
      <c r="C418" s="155"/>
      <c r="D418" s="155"/>
      <c r="E418" s="155"/>
      <c r="F418" s="155"/>
      <c r="G418" s="155"/>
    </row>
    <row r="419" spans="2:7" x14ac:dyDescent="0.2">
      <c r="B419" s="155"/>
      <c r="C419" s="155"/>
      <c r="D419" s="155"/>
      <c r="E419" s="155"/>
      <c r="F419" s="155"/>
      <c r="G419" s="155"/>
    </row>
    <row r="420" spans="2:7" x14ac:dyDescent="0.2">
      <c r="B420" s="155"/>
      <c r="C420" s="155"/>
      <c r="D420" s="155"/>
      <c r="E420" s="155"/>
      <c r="F420" s="155"/>
      <c r="G420" s="155"/>
    </row>
    <row r="421" spans="2:7" x14ac:dyDescent="0.2">
      <c r="B421" s="155"/>
      <c r="C421" s="155"/>
      <c r="D421" s="155"/>
      <c r="E421" s="155"/>
      <c r="F421" s="155"/>
      <c r="G421" s="155"/>
    </row>
    <row r="422" spans="2:7" x14ac:dyDescent="0.2">
      <c r="B422" s="155"/>
      <c r="C422" s="155"/>
      <c r="D422" s="155"/>
      <c r="E422" s="155"/>
      <c r="F422" s="155"/>
      <c r="G422" s="155"/>
    </row>
    <row r="423" spans="2:7" x14ac:dyDescent="0.2">
      <c r="B423" s="155"/>
      <c r="C423" s="155"/>
      <c r="D423" s="155"/>
      <c r="E423" s="155"/>
      <c r="F423" s="155"/>
      <c r="G423" s="155"/>
    </row>
    <row r="424" spans="2:7" x14ac:dyDescent="0.2">
      <c r="B424" s="155"/>
      <c r="C424" s="155"/>
      <c r="D424" s="155"/>
      <c r="E424" s="155"/>
      <c r="F424" s="155"/>
      <c r="G424" s="155"/>
    </row>
    <row r="425" spans="2:7" x14ac:dyDescent="0.2">
      <c r="B425" s="155"/>
      <c r="C425" s="155"/>
      <c r="D425" s="155"/>
      <c r="E425" s="155"/>
      <c r="F425" s="155"/>
      <c r="G425" s="155"/>
    </row>
    <row r="426" spans="2:7" x14ac:dyDescent="0.2">
      <c r="B426" s="155"/>
      <c r="C426" s="155"/>
      <c r="D426" s="155"/>
      <c r="E426" s="155"/>
      <c r="F426" s="155"/>
      <c r="G426" s="155"/>
    </row>
    <row r="427" spans="2:7" x14ac:dyDescent="0.2">
      <c r="B427" s="155"/>
      <c r="C427" s="155"/>
      <c r="D427" s="155"/>
      <c r="E427" s="155"/>
      <c r="F427" s="155"/>
      <c r="G427" s="155"/>
    </row>
    <row r="428" spans="2:7" x14ac:dyDescent="0.2">
      <c r="B428" s="155"/>
      <c r="C428" s="155"/>
      <c r="D428" s="155"/>
      <c r="E428" s="155"/>
      <c r="F428" s="155"/>
      <c r="G428" s="155"/>
    </row>
    <row r="429" spans="2:7" x14ac:dyDescent="0.2">
      <c r="B429" s="155"/>
      <c r="C429" s="155"/>
      <c r="D429" s="155"/>
      <c r="E429" s="155"/>
      <c r="F429" s="155"/>
      <c r="G429" s="155"/>
    </row>
    <row r="430" spans="2:7" x14ac:dyDescent="0.2">
      <c r="B430" s="155"/>
      <c r="C430" s="155"/>
      <c r="D430" s="155"/>
      <c r="E430" s="155"/>
      <c r="F430" s="155"/>
      <c r="G430" s="155"/>
    </row>
    <row r="431" spans="2:7" x14ac:dyDescent="0.2">
      <c r="B431" s="155"/>
      <c r="C431" s="155"/>
      <c r="D431" s="155"/>
      <c r="E431" s="155"/>
      <c r="F431" s="155"/>
      <c r="G431" s="155"/>
    </row>
    <row r="432" spans="2:7" x14ac:dyDescent="0.2">
      <c r="B432" s="155"/>
      <c r="C432" s="155"/>
      <c r="D432" s="155"/>
      <c r="E432" s="155"/>
      <c r="F432" s="155"/>
      <c r="G432" s="155"/>
    </row>
    <row r="433" spans="2:7" x14ac:dyDescent="0.2">
      <c r="B433" s="155"/>
      <c r="C433" s="155"/>
      <c r="D433" s="155"/>
      <c r="E433" s="155"/>
      <c r="F433" s="155"/>
      <c r="G433" s="155"/>
    </row>
    <row r="434" spans="2:7" x14ac:dyDescent="0.2">
      <c r="B434" s="155"/>
      <c r="C434" s="155"/>
      <c r="D434" s="155"/>
      <c r="E434" s="155"/>
      <c r="F434" s="155"/>
      <c r="G434" s="155"/>
    </row>
    <row r="435" spans="2:7" x14ac:dyDescent="0.2">
      <c r="B435" s="155"/>
      <c r="C435" s="155"/>
      <c r="D435" s="155"/>
      <c r="E435" s="155"/>
      <c r="F435" s="155"/>
      <c r="G435" s="155"/>
    </row>
    <row r="436" spans="2:7" x14ac:dyDescent="0.2">
      <c r="B436" s="155"/>
      <c r="C436" s="155"/>
      <c r="D436" s="155"/>
      <c r="E436" s="155"/>
      <c r="F436" s="155"/>
      <c r="G436" s="155"/>
    </row>
    <row r="437" spans="2:7" x14ac:dyDescent="0.2">
      <c r="B437" s="155"/>
      <c r="C437" s="155"/>
      <c r="D437" s="155"/>
      <c r="E437" s="155"/>
      <c r="F437" s="155"/>
      <c r="G437" s="155"/>
    </row>
    <row r="438" spans="2:7" x14ac:dyDescent="0.2">
      <c r="B438" s="155"/>
      <c r="C438" s="155"/>
      <c r="D438" s="155"/>
      <c r="E438" s="155"/>
      <c r="F438" s="155"/>
      <c r="G438" s="155"/>
    </row>
    <row r="439" spans="2:7" x14ac:dyDescent="0.2">
      <c r="B439" s="155"/>
      <c r="C439" s="155"/>
      <c r="D439" s="155"/>
      <c r="E439" s="155"/>
      <c r="F439" s="155"/>
      <c r="G439" s="155"/>
    </row>
    <row r="440" spans="2:7" x14ac:dyDescent="0.2">
      <c r="B440" s="155"/>
      <c r="C440" s="155"/>
      <c r="D440" s="155"/>
      <c r="E440" s="155"/>
      <c r="F440" s="155"/>
      <c r="G440" s="155"/>
    </row>
    <row r="441" spans="2:7" x14ac:dyDescent="0.2">
      <c r="B441" s="155"/>
      <c r="C441" s="155"/>
      <c r="D441" s="155"/>
      <c r="E441" s="155"/>
      <c r="F441" s="155"/>
      <c r="G441" s="155"/>
    </row>
    <row r="442" spans="2:7" x14ac:dyDescent="0.2">
      <c r="B442" s="155"/>
      <c r="C442" s="155"/>
      <c r="D442" s="155"/>
      <c r="E442" s="155"/>
      <c r="F442" s="155"/>
      <c r="G442" s="155"/>
    </row>
    <row r="443" spans="2:7" x14ac:dyDescent="0.2">
      <c r="B443" s="155"/>
      <c r="C443" s="155"/>
      <c r="D443" s="155"/>
      <c r="E443" s="155"/>
      <c r="F443" s="155"/>
      <c r="G443" s="155"/>
    </row>
    <row r="444" spans="2:7" x14ac:dyDescent="0.2">
      <c r="B444" s="155"/>
      <c r="C444" s="155"/>
      <c r="D444" s="155"/>
      <c r="E444" s="155"/>
      <c r="F444" s="155"/>
      <c r="G444" s="155"/>
    </row>
    <row r="445" spans="2:7" x14ac:dyDescent="0.2">
      <c r="B445" s="155"/>
      <c r="C445" s="155"/>
      <c r="D445" s="155"/>
      <c r="E445" s="155"/>
      <c r="F445" s="155"/>
      <c r="G445" s="155"/>
    </row>
    <row r="446" spans="2:7" x14ac:dyDescent="0.2">
      <c r="B446" s="155"/>
      <c r="C446" s="155"/>
      <c r="D446" s="155"/>
      <c r="E446" s="155"/>
      <c r="F446" s="155"/>
      <c r="G446" s="155"/>
    </row>
    <row r="447" spans="2:7" x14ac:dyDescent="0.2">
      <c r="B447" s="155"/>
      <c r="C447" s="155"/>
      <c r="D447" s="155"/>
      <c r="E447" s="155"/>
      <c r="F447" s="155"/>
      <c r="G447" s="155"/>
    </row>
    <row r="448" spans="2:7" x14ac:dyDescent="0.2">
      <c r="B448" s="155"/>
      <c r="C448" s="155"/>
      <c r="D448" s="155"/>
      <c r="E448" s="155"/>
      <c r="F448" s="155"/>
      <c r="G448" s="155"/>
    </row>
    <row r="449" spans="2:7" x14ac:dyDescent="0.2">
      <c r="B449" s="155"/>
      <c r="C449" s="155"/>
      <c r="D449" s="155"/>
      <c r="E449" s="155"/>
      <c r="F449" s="155"/>
      <c r="G449" s="155"/>
    </row>
    <row r="450" spans="2:7" x14ac:dyDescent="0.2">
      <c r="B450" s="155"/>
      <c r="C450" s="155"/>
      <c r="D450" s="155"/>
      <c r="E450" s="155"/>
      <c r="F450" s="155"/>
      <c r="G450" s="155"/>
    </row>
    <row r="451" spans="2:7" x14ac:dyDescent="0.2">
      <c r="B451" s="155"/>
      <c r="C451" s="155"/>
      <c r="D451" s="155"/>
      <c r="E451" s="155"/>
      <c r="F451" s="155"/>
      <c r="G451" s="155"/>
    </row>
    <row r="452" spans="2:7" x14ac:dyDescent="0.2">
      <c r="B452" s="155"/>
      <c r="C452" s="155"/>
      <c r="D452" s="155"/>
      <c r="E452" s="155"/>
      <c r="F452" s="155"/>
      <c r="G452" s="155"/>
    </row>
    <row r="453" spans="2:7" x14ac:dyDescent="0.2">
      <c r="B453" s="155"/>
      <c r="C453" s="155"/>
      <c r="D453" s="155"/>
      <c r="E453" s="155"/>
      <c r="F453" s="155"/>
      <c r="G453" s="155"/>
    </row>
    <row r="454" spans="2:7" x14ac:dyDescent="0.2">
      <c r="B454" s="155"/>
      <c r="C454" s="155"/>
      <c r="D454" s="155"/>
      <c r="E454" s="155"/>
      <c r="F454" s="155"/>
      <c r="G454" s="155"/>
    </row>
    <row r="455" spans="2:7" x14ac:dyDescent="0.2">
      <c r="B455" s="155"/>
      <c r="C455" s="155"/>
      <c r="D455" s="155"/>
      <c r="E455" s="155"/>
      <c r="F455" s="155"/>
      <c r="G455" s="155"/>
    </row>
    <row r="456" spans="2:7" x14ac:dyDescent="0.2">
      <c r="B456" s="155"/>
      <c r="C456" s="155"/>
      <c r="D456" s="155"/>
      <c r="E456" s="155"/>
      <c r="F456" s="155"/>
      <c r="G456" s="155"/>
    </row>
    <row r="457" spans="2:7" x14ac:dyDescent="0.2">
      <c r="B457" s="155"/>
      <c r="C457" s="155"/>
      <c r="D457" s="155"/>
      <c r="E457" s="155"/>
      <c r="F457" s="155"/>
      <c r="G457" s="155"/>
    </row>
    <row r="458" spans="2:7" x14ac:dyDescent="0.2">
      <c r="B458" s="155"/>
      <c r="C458" s="155"/>
      <c r="D458" s="155"/>
      <c r="E458" s="155"/>
      <c r="F458" s="155"/>
      <c r="G458" s="155"/>
    </row>
    <row r="459" spans="2:7" x14ac:dyDescent="0.2">
      <c r="B459" s="155"/>
      <c r="C459" s="155"/>
      <c r="D459" s="155"/>
      <c r="E459" s="155"/>
      <c r="F459" s="155"/>
      <c r="G459" s="155"/>
    </row>
    <row r="460" spans="2:7" x14ac:dyDescent="0.2">
      <c r="B460" s="155"/>
      <c r="C460" s="155"/>
      <c r="D460" s="155"/>
      <c r="E460" s="155"/>
      <c r="F460" s="155"/>
      <c r="G460" s="155"/>
    </row>
    <row r="461" spans="2:7" x14ac:dyDescent="0.2">
      <c r="B461" s="155"/>
      <c r="C461" s="155"/>
      <c r="D461" s="155"/>
      <c r="E461" s="155"/>
      <c r="F461" s="155"/>
      <c r="G461" s="155"/>
    </row>
    <row r="462" spans="2:7" x14ac:dyDescent="0.2">
      <c r="B462" s="155"/>
      <c r="C462" s="155"/>
      <c r="D462" s="155"/>
      <c r="E462" s="155"/>
      <c r="F462" s="155"/>
      <c r="G462" s="155"/>
    </row>
    <row r="463" spans="2:7" x14ac:dyDescent="0.2">
      <c r="B463" s="155"/>
      <c r="C463" s="155"/>
      <c r="D463" s="155"/>
      <c r="E463" s="155"/>
      <c r="F463" s="155"/>
      <c r="G463" s="155"/>
    </row>
    <row r="464" spans="2:7" x14ac:dyDescent="0.2">
      <c r="B464" s="155"/>
      <c r="C464" s="155"/>
      <c r="D464" s="155"/>
      <c r="E464" s="155"/>
      <c r="F464" s="155"/>
      <c r="G464" s="155"/>
    </row>
    <row r="465" spans="2:7" x14ac:dyDescent="0.2">
      <c r="B465" s="155"/>
      <c r="C465" s="155"/>
      <c r="D465" s="155"/>
      <c r="E465" s="155"/>
      <c r="F465" s="155"/>
      <c r="G465" s="155"/>
    </row>
    <row r="466" spans="2:7" x14ac:dyDescent="0.2">
      <c r="B466" s="155"/>
      <c r="C466" s="155"/>
      <c r="D466" s="155"/>
      <c r="E466" s="155"/>
      <c r="F466" s="155"/>
      <c r="G466" s="155"/>
    </row>
    <row r="467" spans="2:7" x14ac:dyDescent="0.2">
      <c r="B467" s="155"/>
      <c r="C467" s="155"/>
      <c r="D467" s="155"/>
      <c r="E467" s="155"/>
      <c r="F467" s="155"/>
      <c r="G467" s="155"/>
    </row>
    <row r="468" spans="2:7" x14ac:dyDescent="0.2">
      <c r="B468" s="155"/>
      <c r="C468" s="155"/>
      <c r="D468" s="155"/>
      <c r="E468" s="155"/>
      <c r="F468" s="155"/>
      <c r="G468" s="155"/>
    </row>
    <row r="469" spans="2:7" x14ac:dyDescent="0.2">
      <c r="B469" s="155"/>
      <c r="C469" s="155"/>
      <c r="D469" s="155"/>
      <c r="E469" s="155"/>
      <c r="F469" s="155"/>
      <c r="G469" s="155"/>
    </row>
    <row r="470" spans="2:7" x14ac:dyDescent="0.2">
      <c r="B470" s="155"/>
      <c r="C470" s="155"/>
      <c r="D470" s="155"/>
      <c r="E470" s="155"/>
      <c r="F470" s="155"/>
      <c r="G470" s="155"/>
    </row>
    <row r="471" spans="2:7" x14ac:dyDescent="0.2">
      <c r="B471" s="155"/>
      <c r="C471" s="155"/>
      <c r="D471" s="155"/>
      <c r="E471" s="155"/>
      <c r="F471" s="155"/>
      <c r="G471" s="155"/>
    </row>
    <row r="472" spans="2:7" x14ac:dyDescent="0.2">
      <c r="B472" s="155"/>
      <c r="C472" s="155"/>
      <c r="D472" s="155"/>
      <c r="E472" s="155"/>
      <c r="F472" s="155"/>
      <c r="G472" s="155"/>
    </row>
    <row r="473" spans="2:7" x14ac:dyDescent="0.2">
      <c r="B473" s="155"/>
      <c r="C473" s="155"/>
      <c r="D473" s="155"/>
      <c r="E473" s="155"/>
      <c r="F473" s="155"/>
      <c r="G473" s="155"/>
    </row>
    <row r="474" spans="2:7" x14ac:dyDescent="0.2">
      <c r="B474" s="155"/>
      <c r="C474" s="155"/>
      <c r="D474" s="155"/>
      <c r="E474" s="155"/>
      <c r="F474" s="155"/>
      <c r="G474" s="155"/>
    </row>
    <row r="475" spans="2:7" x14ac:dyDescent="0.2">
      <c r="B475" s="155"/>
      <c r="C475" s="155"/>
      <c r="D475" s="155"/>
      <c r="E475" s="155"/>
      <c r="F475" s="155"/>
      <c r="G475" s="155"/>
    </row>
    <row r="476" spans="2:7" x14ac:dyDescent="0.2">
      <c r="B476" s="155"/>
      <c r="C476" s="155"/>
      <c r="D476" s="155"/>
      <c r="E476" s="155"/>
      <c r="F476" s="155"/>
      <c r="G476" s="155"/>
    </row>
    <row r="477" spans="2:7" x14ac:dyDescent="0.2">
      <c r="B477" s="155"/>
      <c r="C477" s="155"/>
      <c r="D477" s="155"/>
      <c r="E477" s="155"/>
      <c r="F477" s="155"/>
      <c r="G477" s="155"/>
    </row>
    <row r="478" spans="2:7" x14ac:dyDescent="0.2">
      <c r="B478" s="155"/>
      <c r="C478" s="155"/>
      <c r="D478" s="155"/>
      <c r="E478" s="155"/>
      <c r="F478" s="155"/>
      <c r="G478" s="155"/>
    </row>
    <row r="479" spans="2:7" x14ac:dyDescent="0.2">
      <c r="B479" s="155"/>
      <c r="C479" s="155"/>
      <c r="D479" s="155"/>
      <c r="E479" s="155"/>
      <c r="F479" s="155"/>
      <c r="G479" s="155"/>
    </row>
    <row r="480" spans="2:7" x14ac:dyDescent="0.2">
      <c r="B480" s="155"/>
      <c r="C480" s="155"/>
      <c r="D480" s="155"/>
      <c r="E480" s="155"/>
      <c r="F480" s="155"/>
      <c r="G480" s="155"/>
    </row>
    <row r="481" spans="2:7" x14ac:dyDescent="0.2">
      <c r="B481" s="155"/>
      <c r="C481" s="155"/>
      <c r="D481" s="155"/>
      <c r="E481" s="155"/>
      <c r="F481" s="155"/>
      <c r="G481" s="155"/>
    </row>
    <row r="482" spans="2:7" x14ac:dyDescent="0.2">
      <c r="B482" s="155"/>
      <c r="C482" s="155"/>
      <c r="D482" s="155"/>
      <c r="E482" s="155"/>
      <c r="F482" s="155"/>
      <c r="G482" s="155"/>
    </row>
    <row r="483" spans="2:7" x14ac:dyDescent="0.2">
      <c r="B483" s="155"/>
      <c r="C483" s="155"/>
      <c r="D483" s="155"/>
      <c r="E483" s="155"/>
      <c r="F483" s="155"/>
      <c r="G483" s="155"/>
    </row>
    <row r="484" spans="2:7" x14ac:dyDescent="0.2">
      <c r="B484" s="155"/>
      <c r="C484" s="155"/>
      <c r="D484" s="155"/>
      <c r="E484" s="155"/>
      <c r="F484" s="155"/>
      <c r="G484" s="155"/>
    </row>
    <row r="485" spans="2:7" x14ac:dyDescent="0.2">
      <c r="B485" s="155"/>
      <c r="C485" s="155"/>
      <c r="D485" s="155"/>
      <c r="E485" s="155"/>
      <c r="F485" s="155"/>
      <c r="G485" s="155"/>
    </row>
    <row r="486" spans="2:7" x14ac:dyDescent="0.2">
      <c r="B486" s="155"/>
      <c r="C486" s="155"/>
      <c r="D486" s="155"/>
      <c r="E486" s="155"/>
      <c r="F486" s="155"/>
      <c r="G486" s="155"/>
    </row>
    <row r="487" spans="2:7" x14ac:dyDescent="0.2">
      <c r="B487" s="155"/>
      <c r="C487" s="155"/>
      <c r="D487" s="155"/>
      <c r="E487" s="155"/>
      <c r="F487" s="155"/>
      <c r="G487" s="155"/>
    </row>
    <row r="488" spans="2:7" x14ac:dyDescent="0.2">
      <c r="B488" s="155"/>
      <c r="C488" s="155"/>
      <c r="D488" s="155"/>
      <c r="E488" s="155"/>
      <c r="F488" s="155"/>
      <c r="G488" s="155"/>
    </row>
    <row r="489" spans="2:7" x14ac:dyDescent="0.2">
      <c r="B489" s="155"/>
      <c r="C489" s="155"/>
      <c r="D489" s="155"/>
      <c r="E489" s="155"/>
      <c r="F489" s="155"/>
      <c r="G489" s="155"/>
    </row>
    <row r="490" spans="2:7" x14ac:dyDescent="0.2">
      <c r="B490" s="155"/>
      <c r="C490" s="155"/>
      <c r="D490" s="155"/>
      <c r="E490" s="155"/>
      <c r="F490" s="155"/>
      <c r="G490" s="155"/>
    </row>
    <row r="491" spans="2:7" x14ac:dyDescent="0.2">
      <c r="B491" s="155"/>
      <c r="C491" s="155"/>
      <c r="D491" s="155"/>
      <c r="E491" s="155"/>
      <c r="F491" s="155"/>
      <c r="G491" s="155"/>
    </row>
    <row r="492" spans="2:7" x14ac:dyDescent="0.2">
      <c r="B492" s="155"/>
      <c r="C492" s="155"/>
      <c r="D492" s="155"/>
      <c r="E492" s="155"/>
      <c r="F492" s="155"/>
      <c r="G492" s="155"/>
    </row>
    <row r="493" spans="2:7" x14ac:dyDescent="0.2">
      <c r="B493" s="155"/>
      <c r="C493" s="155"/>
      <c r="D493" s="155"/>
      <c r="E493" s="155"/>
      <c r="F493" s="155"/>
      <c r="G493" s="155"/>
    </row>
    <row r="494" spans="2:7" x14ac:dyDescent="0.2">
      <c r="B494" s="155"/>
      <c r="C494" s="155"/>
      <c r="D494" s="155"/>
      <c r="E494" s="155"/>
      <c r="F494" s="155"/>
      <c r="G494" s="155"/>
    </row>
    <row r="495" spans="2:7" x14ac:dyDescent="0.2">
      <c r="B495" s="155"/>
      <c r="C495" s="155"/>
      <c r="D495" s="155"/>
      <c r="E495" s="155"/>
      <c r="F495" s="155"/>
      <c r="G495" s="155"/>
    </row>
    <row r="496" spans="2:7" x14ac:dyDescent="0.2">
      <c r="B496" s="155"/>
      <c r="C496" s="155"/>
      <c r="D496" s="155"/>
      <c r="E496" s="155"/>
      <c r="F496" s="155"/>
      <c r="G496" s="155"/>
    </row>
    <row r="497" spans="2:7" x14ac:dyDescent="0.2">
      <c r="B497" s="155"/>
      <c r="C497" s="155"/>
      <c r="D497" s="155"/>
      <c r="E497" s="155"/>
      <c r="F497" s="155"/>
      <c r="G497" s="155"/>
    </row>
    <row r="498" spans="2:7" x14ac:dyDescent="0.2">
      <c r="B498" s="155"/>
      <c r="C498" s="155"/>
      <c r="D498" s="155"/>
      <c r="E498" s="155"/>
      <c r="F498" s="155"/>
      <c r="G498" s="155"/>
    </row>
    <row r="499" spans="2:7" x14ac:dyDescent="0.2">
      <c r="B499" s="155"/>
      <c r="C499" s="155"/>
      <c r="D499" s="155"/>
      <c r="E499" s="155"/>
      <c r="F499" s="155"/>
      <c r="G499" s="155"/>
    </row>
    <row r="500" spans="2:7" x14ac:dyDescent="0.2">
      <c r="B500" s="155"/>
      <c r="C500" s="155"/>
      <c r="D500" s="155"/>
      <c r="E500" s="155"/>
      <c r="F500" s="155"/>
      <c r="G500" s="155"/>
    </row>
    <row r="501" spans="2:7" x14ac:dyDescent="0.2">
      <c r="B501" s="155"/>
      <c r="C501" s="155"/>
      <c r="D501" s="155"/>
      <c r="E501" s="155"/>
      <c r="F501" s="155"/>
      <c r="G501" s="155"/>
    </row>
    <row r="502" spans="2:7" x14ac:dyDescent="0.2">
      <c r="B502" s="155"/>
      <c r="C502" s="155"/>
      <c r="D502" s="155"/>
      <c r="E502" s="155"/>
      <c r="F502" s="155"/>
      <c r="G502" s="155"/>
    </row>
    <row r="503" spans="2:7" x14ac:dyDescent="0.2">
      <c r="B503" s="155"/>
      <c r="C503" s="155"/>
      <c r="D503" s="155"/>
      <c r="E503" s="155"/>
      <c r="F503" s="155"/>
      <c r="G503" s="155"/>
    </row>
    <row r="504" spans="2:7" x14ac:dyDescent="0.2">
      <c r="B504" s="155"/>
      <c r="C504" s="155"/>
      <c r="D504" s="155"/>
      <c r="E504" s="155"/>
      <c r="F504" s="155"/>
      <c r="G504" s="155"/>
    </row>
    <row r="505" spans="2:7" x14ac:dyDescent="0.2">
      <c r="B505" s="155"/>
      <c r="C505" s="155"/>
      <c r="D505" s="155"/>
      <c r="E505" s="155"/>
      <c r="F505" s="155"/>
      <c r="G505" s="155"/>
    </row>
    <row r="506" spans="2:7" x14ac:dyDescent="0.2">
      <c r="B506" s="155"/>
      <c r="C506" s="155"/>
      <c r="D506" s="155"/>
      <c r="E506" s="155"/>
      <c r="F506" s="155"/>
      <c r="G506" s="155"/>
    </row>
    <row r="507" spans="2:7" x14ac:dyDescent="0.2">
      <c r="B507" s="155"/>
      <c r="C507" s="155"/>
      <c r="D507" s="155"/>
      <c r="E507" s="155"/>
      <c r="F507" s="155"/>
      <c r="G507" s="155"/>
    </row>
    <row r="508" spans="2:7" x14ac:dyDescent="0.2">
      <c r="B508" s="155"/>
      <c r="C508" s="155"/>
      <c r="D508" s="155"/>
      <c r="E508" s="155"/>
      <c r="F508" s="155"/>
      <c r="G508" s="155"/>
    </row>
    <row r="509" spans="2:7" x14ac:dyDescent="0.2">
      <c r="B509" s="155"/>
      <c r="C509" s="155"/>
      <c r="D509" s="155"/>
      <c r="E509" s="155"/>
      <c r="F509" s="155"/>
      <c r="G509" s="155"/>
    </row>
    <row r="510" spans="2:7" x14ac:dyDescent="0.2">
      <c r="B510" s="155"/>
      <c r="C510" s="155"/>
      <c r="D510" s="155"/>
      <c r="E510" s="155"/>
      <c r="F510" s="155"/>
      <c r="G510" s="155"/>
    </row>
    <row r="511" spans="2:7" x14ac:dyDescent="0.2">
      <c r="B511" s="155"/>
      <c r="C511" s="155"/>
      <c r="D511" s="155"/>
      <c r="E511" s="155"/>
      <c r="F511" s="155"/>
      <c r="G511" s="155"/>
    </row>
    <row r="512" spans="2:7" x14ac:dyDescent="0.2">
      <c r="B512" s="155"/>
      <c r="C512" s="155"/>
      <c r="D512" s="155"/>
      <c r="E512" s="155"/>
      <c r="F512" s="155"/>
      <c r="G512" s="155"/>
    </row>
    <row r="513" spans="2:7" x14ac:dyDescent="0.2">
      <c r="B513" s="155"/>
      <c r="C513" s="155"/>
      <c r="D513" s="155"/>
      <c r="E513" s="155"/>
      <c r="F513" s="155"/>
      <c r="G513" s="155"/>
    </row>
    <row r="514" spans="2:7" x14ac:dyDescent="0.2">
      <c r="B514" s="155"/>
      <c r="C514" s="155"/>
      <c r="D514" s="155"/>
      <c r="E514" s="155"/>
      <c r="F514" s="155"/>
      <c r="G514" s="155"/>
    </row>
    <row r="515" spans="2:7" x14ac:dyDescent="0.2">
      <c r="B515" s="155"/>
      <c r="C515" s="155"/>
      <c r="D515" s="155"/>
      <c r="E515" s="155"/>
      <c r="F515" s="155"/>
      <c r="G515" s="155"/>
    </row>
    <row r="516" spans="2:7" x14ac:dyDescent="0.2">
      <c r="B516" s="155"/>
      <c r="C516" s="155"/>
      <c r="D516" s="155"/>
      <c r="E516" s="155"/>
      <c r="F516" s="155"/>
      <c r="G516" s="155"/>
    </row>
    <row r="517" spans="2:7" x14ac:dyDescent="0.2">
      <c r="B517" s="155"/>
      <c r="C517" s="155"/>
      <c r="D517" s="155"/>
      <c r="E517" s="155"/>
      <c r="F517" s="155"/>
      <c r="G517" s="155"/>
    </row>
    <row r="518" spans="2:7" x14ac:dyDescent="0.2">
      <c r="B518" s="155"/>
      <c r="C518" s="155"/>
      <c r="D518" s="155"/>
      <c r="E518" s="155"/>
      <c r="F518" s="155"/>
      <c r="G518" s="155"/>
    </row>
    <row r="519" spans="2:7" x14ac:dyDescent="0.2">
      <c r="B519" s="155"/>
      <c r="C519" s="155"/>
      <c r="D519" s="155"/>
      <c r="E519" s="155"/>
      <c r="F519" s="155"/>
      <c r="G519" s="155"/>
    </row>
    <row r="520" spans="2:7" x14ac:dyDescent="0.2">
      <c r="B520" s="155"/>
      <c r="C520" s="155"/>
      <c r="D520" s="155"/>
      <c r="E520" s="155"/>
      <c r="F520" s="155"/>
      <c r="G520" s="155"/>
    </row>
    <row r="521" spans="2:7" x14ac:dyDescent="0.2">
      <c r="B521" s="155"/>
      <c r="C521" s="155"/>
      <c r="D521" s="155"/>
      <c r="E521" s="155"/>
      <c r="F521" s="155"/>
      <c r="G521" s="155"/>
    </row>
    <row r="522" spans="2:7" x14ac:dyDescent="0.2">
      <c r="B522" s="155"/>
      <c r="C522" s="155"/>
      <c r="D522" s="155"/>
      <c r="E522" s="155"/>
      <c r="F522" s="155"/>
      <c r="G522" s="155"/>
    </row>
    <row r="523" spans="2:7" x14ac:dyDescent="0.2">
      <c r="B523" s="155"/>
      <c r="C523" s="155"/>
      <c r="D523" s="155"/>
      <c r="E523" s="155"/>
      <c r="F523" s="155"/>
      <c r="G523" s="155"/>
    </row>
    <row r="524" spans="2:7" x14ac:dyDescent="0.2">
      <c r="B524" s="155"/>
      <c r="C524" s="155"/>
      <c r="D524" s="155"/>
      <c r="E524" s="155"/>
      <c r="F524" s="155"/>
      <c r="G524" s="155"/>
    </row>
    <row r="525" spans="2:7" x14ac:dyDescent="0.2">
      <c r="B525" s="155"/>
      <c r="C525" s="155"/>
      <c r="D525" s="155"/>
      <c r="E525" s="155"/>
      <c r="F525" s="155"/>
      <c r="G525" s="155"/>
    </row>
    <row r="526" spans="2:7" x14ac:dyDescent="0.2">
      <c r="B526" s="155"/>
      <c r="C526" s="155"/>
      <c r="D526" s="155"/>
      <c r="E526" s="155"/>
      <c r="F526" s="155"/>
      <c r="G526" s="155"/>
    </row>
    <row r="527" spans="2:7" x14ac:dyDescent="0.2">
      <c r="B527" s="155"/>
      <c r="C527" s="155"/>
      <c r="D527" s="155"/>
      <c r="E527" s="155"/>
      <c r="F527" s="155"/>
      <c r="G527" s="155"/>
    </row>
    <row r="528" spans="2:7" x14ac:dyDescent="0.2">
      <c r="B528" s="155"/>
      <c r="C528" s="155"/>
      <c r="D528" s="155"/>
      <c r="E528" s="155"/>
      <c r="F528" s="155"/>
      <c r="G528" s="155"/>
    </row>
    <row r="529" spans="2:7" x14ac:dyDescent="0.2">
      <c r="B529" s="155"/>
      <c r="C529" s="155"/>
      <c r="D529" s="155"/>
      <c r="E529" s="155"/>
      <c r="F529" s="155"/>
      <c r="G529" s="155"/>
    </row>
    <row r="530" spans="2:7" x14ac:dyDescent="0.2">
      <c r="B530" s="155"/>
      <c r="C530" s="155"/>
      <c r="D530" s="155"/>
      <c r="E530" s="155"/>
      <c r="F530" s="155"/>
      <c r="G530" s="155"/>
    </row>
    <row r="531" spans="2:7" x14ac:dyDescent="0.2">
      <c r="B531" s="155"/>
      <c r="C531" s="155"/>
      <c r="D531" s="155"/>
      <c r="E531" s="155"/>
      <c r="F531" s="155"/>
      <c r="G531" s="155"/>
    </row>
    <row r="532" spans="2:7" x14ac:dyDescent="0.2">
      <c r="B532" s="155"/>
      <c r="C532" s="155"/>
      <c r="D532" s="155"/>
      <c r="E532" s="155"/>
      <c r="F532" s="155"/>
      <c r="G532" s="155"/>
    </row>
    <row r="533" spans="2:7" x14ac:dyDescent="0.2">
      <c r="B533" s="155"/>
      <c r="C533" s="155"/>
      <c r="D533" s="155"/>
      <c r="E533" s="155"/>
      <c r="F533" s="155"/>
      <c r="G533" s="155"/>
    </row>
    <row r="534" spans="2:7" x14ac:dyDescent="0.2">
      <c r="B534" s="155"/>
      <c r="C534" s="155"/>
      <c r="D534" s="155"/>
      <c r="E534" s="155"/>
      <c r="F534" s="155"/>
      <c r="G534" s="155"/>
    </row>
    <row r="535" spans="2:7" x14ac:dyDescent="0.2">
      <c r="B535" s="155"/>
      <c r="C535" s="155"/>
      <c r="D535" s="155"/>
      <c r="E535" s="155"/>
      <c r="F535" s="155"/>
      <c r="G535" s="155"/>
    </row>
    <row r="536" spans="2:7" x14ac:dyDescent="0.2">
      <c r="B536" s="155"/>
      <c r="C536" s="155"/>
      <c r="D536" s="155"/>
      <c r="E536" s="155"/>
      <c r="F536" s="155"/>
      <c r="G536" s="155"/>
    </row>
    <row r="537" spans="2:7" x14ac:dyDescent="0.2">
      <c r="B537" s="155"/>
      <c r="C537" s="155"/>
      <c r="D537" s="155"/>
      <c r="E537" s="155"/>
      <c r="F537" s="155"/>
      <c r="G537" s="155"/>
    </row>
    <row r="538" spans="2:7" x14ac:dyDescent="0.2">
      <c r="B538" s="155"/>
      <c r="C538" s="155"/>
      <c r="D538" s="155"/>
      <c r="E538" s="155"/>
      <c r="F538" s="155"/>
      <c r="G538" s="155"/>
    </row>
    <row r="539" spans="2:7" x14ac:dyDescent="0.2">
      <c r="B539" s="155"/>
      <c r="C539" s="155"/>
      <c r="D539" s="155"/>
      <c r="E539" s="155"/>
      <c r="F539" s="155"/>
      <c r="G539" s="155"/>
    </row>
    <row r="540" spans="2:7" x14ac:dyDescent="0.2">
      <c r="B540" s="155"/>
      <c r="C540" s="155"/>
      <c r="D540" s="155"/>
      <c r="E540" s="155"/>
      <c r="F540" s="155"/>
      <c r="G540" s="155"/>
    </row>
    <row r="541" spans="2:7" x14ac:dyDescent="0.2">
      <c r="B541" s="155"/>
      <c r="C541" s="155"/>
      <c r="D541" s="155"/>
      <c r="E541" s="155"/>
      <c r="F541" s="155"/>
      <c r="G541" s="155"/>
    </row>
    <row r="542" spans="2:7" x14ac:dyDescent="0.2">
      <c r="B542" s="155"/>
      <c r="C542" s="155"/>
      <c r="D542" s="155"/>
      <c r="E542" s="155"/>
      <c r="F542" s="155"/>
      <c r="G542" s="155"/>
    </row>
    <row r="543" spans="2:7" x14ac:dyDescent="0.2">
      <c r="B543" s="155"/>
      <c r="C543" s="155"/>
      <c r="D543" s="155"/>
      <c r="E543" s="155"/>
      <c r="F543" s="155"/>
      <c r="G543" s="155"/>
    </row>
    <row r="544" spans="2:7" x14ac:dyDescent="0.2">
      <c r="B544" s="155"/>
      <c r="C544" s="155"/>
      <c r="D544" s="155"/>
      <c r="E544" s="155"/>
      <c r="F544" s="155"/>
      <c r="G544" s="155"/>
    </row>
    <row r="545" spans="2:7" x14ac:dyDescent="0.2">
      <c r="B545" s="155"/>
      <c r="C545" s="155"/>
      <c r="D545" s="155"/>
      <c r="E545" s="155"/>
      <c r="F545" s="155"/>
      <c r="G545" s="155"/>
    </row>
    <row r="546" spans="2:7" x14ac:dyDescent="0.2">
      <c r="B546" s="155"/>
      <c r="C546" s="155"/>
      <c r="D546" s="155"/>
      <c r="E546" s="155"/>
      <c r="F546" s="155"/>
      <c r="G546" s="155"/>
    </row>
    <row r="547" spans="2:7" x14ac:dyDescent="0.2">
      <c r="B547" s="155"/>
      <c r="C547" s="155"/>
      <c r="D547" s="155"/>
      <c r="E547" s="155"/>
      <c r="F547" s="155"/>
      <c r="G547" s="155"/>
    </row>
    <row r="548" spans="2:7" x14ac:dyDescent="0.2">
      <c r="B548" s="155"/>
      <c r="C548" s="155"/>
      <c r="D548" s="155"/>
      <c r="E548" s="155"/>
      <c r="F548" s="155"/>
      <c r="G548" s="155"/>
    </row>
    <row r="549" spans="2:7" x14ac:dyDescent="0.2">
      <c r="B549" s="155"/>
      <c r="C549" s="155"/>
      <c r="D549" s="155"/>
      <c r="E549" s="155"/>
      <c r="F549" s="155"/>
      <c r="G549" s="155"/>
    </row>
    <row r="550" spans="2:7" x14ac:dyDescent="0.2">
      <c r="B550" s="155"/>
      <c r="C550" s="155"/>
      <c r="D550" s="155"/>
      <c r="E550" s="155"/>
      <c r="F550" s="155"/>
      <c r="G550" s="155"/>
    </row>
    <row r="551" spans="2:7" x14ac:dyDescent="0.2">
      <c r="B551" s="155"/>
      <c r="C551" s="155"/>
      <c r="D551" s="155"/>
      <c r="E551" s="155"/>
      <c r="F551" s="155"/>
      <c r="G551" s="155"/>
    </row>
    <row r="552" spans="2:7" x14ac:dyDescent="0.2">
      <c r="B552" s="155"/>
      <c r="C552" s="155"/>
      <c r="D552" s="155"/>
      <c r="E552" s="155"/>
      <c r="F552" s="155"/>
      <c r="G552" s="155"/>
    </row>
    <row r="553" spans="2:7" x14ac:dyDescent="0.2">
      <c r="B553" s="155"/>
      <c r="C553" s="155"/>
      <c r="D553" s="155"/>
      <c r="E553" s="155"/>
      <c r="F553" s="155"/>
      <c r="G553" s="155"/>
    </row>
    <row r="554" spans="2:7" x14ac:dyDescent="0.2">
      <c r="B554" s="155"/>
      <c r="C554" s="155"/>
      <c r="D554" s="155"/>
      <c r="E554" s="155"/>
      <c r="F554" s="155"/>
      <c r="G554" s="155"/>
    </row>
    <row r="555" spans="2:7" x14ac:dyDescent="0.2">
      <c r="B555" s="155"/>
      <c r="C555" s="155"/>
      <c r="D555" s="155"/>
      <c r="E555" s="155"/>
      <c r="F555" s="155"/>
      <c r="G555" s="155"/>
    </row>
    <row r="556" spans="2:7" x14ac:dyDescent="0.2">
      <c r="B556" s="155"/>
      <c r="C556" s="155"/>
      <c r="D556" s="155"/>
      <c r="E556" s="155"/>
      <c r="F556" s="155"/>
      <c r="G556" s="155"/>
    </row>
    <row r="557" spans="2:7" x14ac:dyDescent="0.2">
      <c r="B557" s="155"/>
      <c r="C557" s="155"/>
      <c r="D557" s="155"/>
      <c r="E557" s="155"/>
      <c r="F557" s="155"/>
      <c r="G557" s="155"/>
    </row>
    <row r="558" spans="2:7" x14ac:dyDescent="0.2">
      <c r="B558" s="155"/>
      <c r="C558" s="155"/>
      <c r="D558" s="155"/>
      <c r="E558" s="155"/>
      <c r="F558" s="155"/>
      <c r="G558" s="155"/>
    </row>
    <row r="559" spans="2:7" x14ac:dyDescent="0.2">
      <c r="B559" s="155"/>
      <c r="C559" s="155"/>
      <c r="D559" s="155"/>
      <c r="E559" s="155"/>
      <c r="F559" s="155"/>
      <c r="G559" s="155"/>
    </row>
    <row r="560" spans="2:7" x14ac:dyDescent="0.2">
      <c r="B560" s="155"/>
      <c r="C560" s="155"/>
      <c r="D560" s="155"/>
      <c r="E560" s="155"/>
      <c r="F560" s="155"/>
      <c r="G560" s="155"/>
    </row>
    <row r="561" spans="2:7" x14ac:dyDescent="0.2">
      <c r="B561" s="155"/>
      <c r="C561" s="155"/>
      <c r="D561" s="155"/>
      <c r="E561" s="155"/>
      <c r="F561" s="155"/>
      <c r="G561" s="155"/>
    </row>
    <row r="562" spans="2:7" x14ac:dyDescent="0.2">
      <c r="B562" s="155"/>
      <c r="C562" s="155"/>
      <c r="D562" s="155"/>
      <c r="E562" s="155"/>
      <c r="F562" s="155"/>
      <c r="G562" s="155"/>
    </row>
    <row r="563" spans="2:7" x14ac:dyDescent="0.2">
      <c r="B563" s="155"/>
      <c r="C563" s="155"/>
      <c r="D563" s="155"/>
      <c r="E563" s="155"/>
      <c r="F563" s="155"/>
      <c r="G563" s="155"/>
    </row>
    <row r="564" spans="2:7" x14ac:dyDescent="0.2">
      <c r="B564" s="155"/>
      <c r="C564" s="155"/>
      <c r="D564" s="155"/>
      <c r="E564" s="155"/>
      <c r="F564" s="155"/>
      <c r="G564" s="155"/>
    </row>
    <row r="565" spans="2:7" x14ac:dyDescent="0.2">
      <c r="B565" s="155"/>
      <c r="C565" s="155"/>
      <c r="D565" s="155"/>
      <c r="E565" s="155"/>
      <c r="F565" s="155"/>
      <c r="G565" s="155"/>
    </row>
    <row r="566" spans="2:7" x14ac:dyDescent="0.2">
      <c r="B566" s="155"/>
      <c r="C566" s="155"/>
      <c r="D566" s="155"/>
      <c r="E566" s="155"/>
      <c r="F566" s="155"/>
      <c r="G566" s="155"/>
    </row>
    <row r="567" spans="2:7" x14ac:dyDescent="0.2">
      <c r="B567" s="155"/>
      <c r="C567" s="155"/>
      <c r="D567" s="155"/>
      <c r="E567" s="155"/>
      <c r="F567" s="155"/>
      <c r="G567" s="155"/>
    </row>
    <row r="568" spans="2:7" x14ac:dyDescent="0.2">
      <c r="B568" s="155"/>
      <c r="C568" s="155"/>
      <c r="D568" s="155"/>
      <c r="E568" s="155"/>
      <c r="F568" s="155"/>
      <c r="G568" s="155"/>
    </row>
    <row r="569" spans="2:7" x14ac:dyDescent="0.2">
      <c r="B569" s="155"/>
      <c r="C569" s="155"/>
      <c r="D569" s="155"/>
      <c r="E569" s="155"/>
      <c r="F569" s="155"/>
      <c r="G569" s="155"/>
    </row>
    <row r="570" spans="2:7" x14ac:dyDescent="0.2">
      <c r="B570" s="155"/>
      <c r="C570" s="155"/>
      <c r="D570" s="155"/>
      <c r="E570" s="155"/>
      <c r="F570" s="155"/>
      <c r="G570" s="155"/>
    </row>
    <row r="571" spans="2:7" x14ac:dyDescent="0.2">
      <c r="B571" s="155"/>
      <c r="C571" s="155"/>
      <c r="D571" s="155"/>
      <c r="E571" s="155"/>
      <c r="F571" s="155"/>
      <c r="G571" s="155"/>
    </row>
    <row r="572" spans="2:7" x14ac:dyDescent="0.2">
      <c r="B572" s="155"/>
      <c r="C572" s="155"/>
      <c r="D572" s="155"/>
      <c r="E572" s="155"/>
      <c r="F572" s="155"/>
      <c r="G572" s="155"/>
    </row>
    <row r="573" spans="2:7" x14ac:dyDescent="0.2">
      <c r="B573" s="155"/>
      <c r="C573" s="155"/>
      <c r="D573" s="155"/>
      <c r="E573" s="155"/>
      <c r="F573" s="155"/>
      <c r="G573" s="155"/>
    </row>
    <row r="574" spans="2:7" x14ac:dyDescent="0.2">
      <c r="B574" s="155"/>
      <c r="C574" s="155"/>
      <c r="D574" s="155"/>
      <c r="E574" s="155"/>
      <c r="F574" s="155"/>
      <c r="G574" s="155"/>
    </row>
    <row r="575" spans="2:7" x14ac:dyDescent="0.2">
      <c r="B575" s="155"/>
      <c r="C575" s="155"/>
      <c r="D575" s="155"/>
      <c r="E575" s="155"/>
      <c r="F575" s="155"/>
      <c r="G575" s="155"/>
    </row>
    <row r="576" spans="2:7" x14ac:dyDescent="0.2">
      <c r="B576" s="155"/>
      <c r="C576" s="155"/>
      <c r="D576" s="155"/>
      <c r="E576" s="155"/>
      <c r="F576" s="155"/>
      <c r="G576" s="155"/>
    </row>
    <row r="577" spans="2:7" x14ac:dyDescent="0.2">
      <c r="B577" s="155"/>
      <c r="C577" s="155"/>
      <c r="D577" s="155"/>
      <c r="E577" s="155"/>
      <c r="F577" s="155"/>
      <c r="G577" s="155"/>
    </row>
    <row r="578" spans="2:7" x14ac:dyDescent="0.2">
      <c r="B578" s="155"/>
      <c r="C578" s="155"/>
      <c r="D578" s="155"/>
      <c r="E578" s="155"/>
      <c r="F578" s="155"/>
      <c r="G578" s="155"/>
    </row>
    <row r="579" spans="2:7" x14ac:dyDescent="0.2">
      <c r="B579" s="155"/>
      <c r="C579" s="155"/>
      <c r="D579" s="155"/>
      <c r="E579" s="155"/>
      <c r="F579" s="155"/>
      <c r="G579" s="155"/>
    </row>
    <row r="580" spans="2:7" x14ac:dyDescent="0.2">
      <c r="B580" s="155"/>
      <c r="C580" s="155"/>
      <c r="D580" s="155"/>
      <c r="E580" s="155"/>
      <c r="F580" s="155"/>
      <c r="G580" s="155"/>
    </row>
    <row r="581" spans="2:7" x14ac:dyDescent="0.2">
      <c r="B581" s="155"/>
      <c r="C581" s="155"/>
      <c r="D581" s="155"/>
      <c r="E581" s="155"/>
      <c r="F581" s="155"/>
      <c r="G581" s="155"/>
    </row>
    <row r="582" spans="2:7" x14ac:dyDescent="0.2">
      <c r="B582" s="155"/>
      <c r="C582" s="155"/>
      <c r="D582" s="155"/>
      <c r="E582" s="155"/>
      <c r="F582" s="155"/>
      <c r="G582" s="155"/>
    </row>
    <row r="583" spans="2:7" x14ac:dyDescent="0.2">
      <c r="B583" s="155"/>
      <c r="C583" s="155"/>
      <c r="D583" s="155"/>
      <c r="E583" s="155"/>
      <c r="F583" s="155"/>
      <c r="G583" s="155"/>
    </row>
    <row r="584" spans="2:7" x14ac:dyDescent="0.2">
      <c r="B584" s="155"/>
      <c r="C584" s="155"/>
      <c r="D584" s="155"/>
      <c r="E584" s="155"/>
      <c r="F584" s="155"/>
      <c r="G584" s="155"/>
    </row>
    <row r="585" spans="2:7" x14ac:dyDescent="0.2">
      <c r="B585" s="155"/>
      <c r="C585" s="155"/>
      <c r="D585" s="155"/>
      <c r="E585" s="155"/>
      <c r="F585" s="155"/>
      <c r="G585" s="155"/>
    </row>
    <row r="586" spans="2:7" x14ac:dyDescent="0.2">
      <c r="B586" s="155"/>
      <c r="C586" s="155"/>
      <c r="D586" s="155"/>
      <c r="E586" s="155"/>
      <c r="F586" s="155"/>
      <c r="G586" s="155"/>
    </row>
    <row r="587" spans="2:7" x14ac:dyDescent="0.2">
      <c r="B587" s="155"/>
      <c r="C587" s="155"/>
      <c r="D587" s="155"/>
      <c r="E587" s="155"/>
      <c r="F587" s="155"/>
      <c r="G587" s="155"/>
    </row>
    <row r="588" spans="2:7" x14ac:dyDescent="0.2">
      <c r="B588" s="155"/>
      <c r="C588" s="155"/>
      <c r="D588" s="155"/>
      <c r="E588" s="155"/>
      <c r="F588" s="155"/>
      <c r="G588" s="155"/>
    </row>
    <row r="589" spans="2:7" x14ac:dyDescent="0.2">
      <c r="B589" s="155"/>
      <c r="C589" s="155"/>
      <c r="D589" s="155"/>
      <c r="E589" s="155"/>
      <c r="F589" s="155"/>
      <c r="G589" s="155"/>
    </row>
    <row r="590" spans="2:7" x14ac:dyDescent="0.2">
      <c r="B590" s="155"/>
      <c r="C590" s="155"/>
      <c r="D590" s="155"/>
      <c r="E590" s="155"/>
      <c r="F590" s="155"/>
      <c r="G590" s="155"/>
    </row>
    <row r="591" spans="2:7" x14ac:dyDescent="0.2">
      <c r="B591" s="155"/>
      <c r="C591" s="155"/>
      <c r="D591" s="155"/>
      <c r="E591" s="155"/>
      <c r="F591" s="155"/>
      <c r="G591" s="155"/>
    </row>
    <row r="592" spans="2:7" x14ac:dyDescent="0.2">
      <c r="B592" s="155"/>
      <c r="C592" s="155"/>
      <c r="D592" s="155"/>
      <c r="E592" s="155"/>
      <c r="F592" s="155"/>
      <c r="G592" s="155"/>
    </row>
    <row r="593" spans="2:7" x14ac:dyDescent="0.2">
      <c r="B593" s="155"/>
      <c r="C593" s="155"/>
      <c r="D593" s="155"/>
      <c r="E593" s="155"/>
      <c r="F593" s="155"/>
      <c r="G593" s="155"/>
    </row>
    <row r="594" spans="2:7" x14ac:dyDescent="0.2">
      <c r="B594" s="155"/>
      <c r="C594" s="155"/>
      <c r="D594" s="155"/>
      <c r="E594" s="155"/>
      <c r="F594" s="155"/>
      <c r="G594" s="155"/>
    </row>
    <row r="595" spans="2:7" x14ac:dyDescent="0.2">
      <c r="B595" s="155"/>
      <c r="C595" s="155"/>
      <c r="D595" s="155"/>
      <c r="E595" s="155"/>
      <c r="F595" s="155"/>
      <c r="G595" s="155"/>
    </row>
    <row r="596" spans="2:7" x14ac:dyDescent="0.2">
      <c r="B596" s="155"/>
      <c r="C596" s="155"/>
      <c r="D596" s="155"/>
      <c r="E596" s="155"/>
      <c r="F596" s="155"/>
      <c r="G596" s="155"/>
    </row>
    <row r="597" spans="2:7" x14ac:dyDescent="0.2">
      <c r="B597" s="155"/>
      <c r="C597" s="155"/>
      <c r="D597" s="155"/>
      <c r="E597" s="155"/>
      <c r="F597" s="155"/>
      <c r="G597" s="155"/>
    </row>
    <row r="598" spans="2:7" x14ac:dyDescent="0.2">
      <c r="B598" s="155"/>
      <c r="C598" s="155"/>
      <c r="D598" s="155"/>
      <c r="E598" s="155"/>
      <c r="F598" s="155"/>
      <c r="G598" s="155"/>
    </row>
    <row r="599" spans="2:7" x14ac:dyDescent="0.2">
      <c r="B599" s="155"/>
      <c r="C599" s="155"/>
      <c r="D599" s="155"/>
      <c r="E599" s="155"/>
      <c r="F599" s="155"/>
      <c r="G599" s="155"/>
    </row>
    <row r="600" spans="2:7" x14ac:dyDescent="0.2">
      <c r="B600" s="155"/>
      <c r="C600" s="155"/>
      <c r="D600" s="155"/>
      <c r="E600" s="155"/>
      <c r="F600" s="155"/>
      <c r="G600" s="155"/>
    </row>
    <row r="601" spans="2:7" x14ac:dyDescent="0.2">
      <c r="B601" s="155"/>
      <c r="C601" s="155"/>
      <c r="D601" s="155"/>
      <c r="E601" s="155"/>
      <c r="F601" s="155"/>
      <c r="G601" s="155"/>
    </row>
    <row r="602" spans="2:7" x14ac:dyDescent="0.2">
      <c r="B602" s="155"/>
      <c r="C602" s="155"/>
      <c r="D602" s="155"/>
      <c r="E602" s="155"/>
      <c r="F602" s="155"/>
      <c r="G602" s="155"/>
    </row>
    <row r="603" spans="2:7" x14ac:dyDescent="0.2">
      <c r="B603" s="155"/>
      <c r="C603" s="155"/>
      <c r="D603" s="155"/>
      <c r="E603" s="155"/>
      <c r="F603" s="155"/>
      <c r="G603" s="155"/>
    </row>
    <row r="604" spans="2:7" x14ac:dyDescent="0.2">
      <c r="B604" s="155"/>
      <c r="C604" s="155"/>
      <c r="D604" s="155"/>
      <c r="E604" s="155"/>
      <c r="F604" s="155"/>
      <c r="G604" s="155"/>
    </row>
    <row r="605" spans="2:7" x14ac:dyDescent="0.2">
      <c r="B605" s="155"/>
      <c r="C605" s="155"/>
      <c r="D605" s="155"/>
      <c r="E605" s="155"/>
      <c r="F605" s="155"/>
      <c r="G605" s="155"/>
    </row>
    <row r="606" spans="2:7" x14ac:dyDescent="0.2">
      <c r="B606" s="155"/>
      <c r="C606" s="155"/>
      <c r="D606" s="155"/>
      <c r="E606" s="155"/>
      <c r="F606" s="155"/>
      <c r="G606" s="155"/>
    </row>
    <row r="607" spans="2:7" x14ac:dyDescent="0.2">
      <c r="B607" s="155"/>
      <c r="C607" s="155"/>
      <c r="D607" s="155"/>
      <c r="E607" s="155"/>
      <c r="F607" s="155"/>
      <c r="G607" s="155"/>
    </row>
    <row r="608" spans="2:7" x14ac:dyDescent="0.2">
      <c r="B608" s="155"/>
      <c r="C608" s="155"/>
      <c r="D608" s="155"/>
      <c r="E608" s="155"/>
      <c r="F608" s="155"/>
      <c r="G608" s="155"/>
    </row>
    <row r="609" spans="2:7" x14ac:dyDescent="0.2">
      <c r="B609" s="155"/>
      <c r="C609" s="155"/>
      <c r="D609" s="155"/>
      <c r="E609" s="155"/>
      <c r="F609" s="155"/>
      <c r="G609" s="155"/>
    </row>
    <row r="610" spans="2:7" x14ac:dyDescent="0.2">
      <c r="B610" s="155"/>
      <c r="C610" s="155"/>
      <c r="D610" s="155"/>
      <c r="E610" s="155"/>
      <c r="F610" s="155"/>
      <c r="G610" s="155"/>
    </row>
    <row r="611" spans="2:7" x14ac:dyDescent="0.2">
      <c r="B611" s="155"/>
      <c r="C611" s="155"/>
      <c r="D611" s="155"/>
      <c r="E611" s="155"/>
      <c r="F611" s="155"/>
      <c r="G611" s="155"/>
    </row>
    <row r="612" spans="2:7" x14ac:dyDescent="0.2">
      <c r="B612" s="155"/>
      <c r="C612" s="155"/>
      <c r="D612" s="155"/>
      <c r="E612" s="155"/>
      <c r="F612" s="155"/>
      <c r="G612" s="155"/>
    </row>
    <row r="613" spans="2:7" x14ac:dyDescent="0.2">
      <c r="B613" s="155"/>
      <c r="C613" s="155"/>
      <c r="D613" s="155"/>
      <c r="E613" s="155"/>
      <c r="F613" s="155"/>
      <c r="G613" s="155"/>
    </row>
    <row r="614" spans="2:7" x14ac:dyDescent="0.2">
      <c r="B614" s="155"/>
      <c r="C614" s="155"/>
      <c r="D614" s="155"/>
      <c r="E614" s="155"/>
      <c r="F614" s="155"/>
      <c r="G614" s="155"/>
    </row>
    <row r="615" spans="2:7" x14ac:dyDescent="0.2">
      <c r="B615" s="155"/>
      <c r="C615" s="155"/>
      <c r="D615" s="155"/>
      <c r="E615" s="155"/>
      <c r="F615" s="155"/>
      <c r="G615" s="155"/>
    </row>
    <row r="616" spans="2:7" x14ac:dyDescent="0.2">
      <c r="B616" s="155"/>
      <c r="C616" s="155"/>
      <c r="D616" s="155"/>
      <c r="E616" s="155"/>
      <c r="F616" s="155"/>
      <c r="G616" s="155"/>
    </row>
    <row r="617" spans="2:7" x14ac:dyDescent="0.2">
      <c r="B617" s="155"/>
      <c r="C617" s="155"/>
      <c r="D617" s="155"/>
      <c r="E617" s="155"/>
      <c r="F617" s="155"/>
      <c r="G617" s="155"/>
    </row>
    <row r="618" spans="2:7" x14ac:dyDescent="0.2">
      <c r="B618" s="155"/>
      <c r="C618" s="155"/>
      <c r="D618" s="155"/>
      <c r="E618" s="155"/>
      <c r="F618" s="155"/>
      <c r="G618" s="155"/>
    </row>
    <row r="619" spans="2:7" x14ac:dyDescent="0.2">
      <c r="B619" s="155"/>
      <c r="C619" s="155"/>
      <c r="D619" s="155"/>
      <c r="E619" s="155"/>
      <c r="F619" s="155"/>
      <c r="G619" s="155"/>
    </row>
    <row r="620" spans="2:7" x14ac:dyDescent="0.2">
      <c r="B620" s="155"/>
      <c r="C620" s="155"/>
      <c r="D620" s="155"/>
      <c r="E620" s="155"/>
      <c r="F620" s="155"/>
      <c r="G620" s="155"/>
    </row>
    <row r="621" spans="2:7" x14ac:dyDescent="0.2">
      <c r="B621" s="155"/>
      <c r="C621" s="155"/>
      <c r="D621" s="155"/>
      <c r="E621" s="155"/>
      <c r="F621" s="155"/>
      <c r="G621" s="155"/>
    </row>
    <row r="622" spans="2:7" x14ac:dyDescent="0.2">
      <c r="B622" s="155"/>
      <c r="C622" s="155"/>
      <c r="D622" s="155"/>
      <c r="E622" s="155"/>
      <c r="F622" s="155"/>
      <c r="G622" s="155"/>
    </row>
    <row r="623" spans="2:7" x14ac:dyDescent="0.2">
      <c r="B623" s="155"/>
      <c r="C623" s="155"/>
      <c r="D623" s="155"/>
      <c r="E623" s="155"/>
      <c r="F623" s="155"/>
      <c r="G623" s="155"/>
    </row>
    <row r="624" spans="2:7" x14ac:dyDescent="0.2">
      <c r="B624" s="155"/>
      <c r="C624" s="155"/>
      <c r="D624" s="155"/>
      <c r="E624" s="155"/>
      <c r="F624" s="155"/>
      <c r="G624" s="155"/>
    </row>
    <row r="625" spans="2:7" x14ac:dyDescent="0.2">
      <c r="B625" s="155"/>
      <c r="C625" s="155"/>
      <c r="D625" s="155"/>
      <c r="E625" s="155"/>
      <c r="F625" s="155"/>
      <c r="G625" s="155"/>
    </row>
    <row r="626" spans="2:7" x14ac:dyDescent="0.2">
      <c r="B626" s="155"/>
      <c r="C626" s="155"/>
      <c r="D626" s="155"/>
      <c r="E626" s="155"/>
      <c r="F626" s="155"/>
      <c r="G626" s="155"/>
    </row>
    <row r="627" spans="2:7" x14ac:dyDescent="0.2">
      <c r="B627" s="155"/>
      <c r="C627" s="155"/>
      <c r="D627" s="155"/>
      <c r="E627" s="155"/>
      <c r="F627" s="155"/>
      <c r="G627" s="155"/>
    </row>
    <row r="628" spans="2:7" x14ac:dyDescent="0.2">
      <c r="B628" s="155"/>
      <c r="C628" s="155"/>
      <c r="D628" s="155"/>
      <c r="E628" s="155"/>
      <c r="F628" s="155"/>
      <c r="G628" s="155"/>
    </row>
    <row r="629" spans="2:7" x14ac:dyDescent="0.2">
      <c r="B629" s="155"/>
      <c r="C629" s="155"/>
      <c r="D629" s="155"/>
      <c r="E629" s="155"/>
      <c r="F629" s="155"/>
      <c r="G629" s="155"/>
    </row>
    <row r="630" spans="2:7" x14ac:dyDescent="0.2">
      <c r="B630" s="155"/>
      <c r="C630" s="155"/>
      <c r="D630" s="155"/>
      <c r="E630" s="155"/>
      <c r="F630" s="155"/>
      <c r="G630" s="155"/>
    </row>
    <row r="631" spans="2:7" x14ac:dyDescent="0.2">
      <c r="B631" s="155"/>
      <c r="C631" s="155"/>
      <c r="D631" s="155"/>
      <c r="E631" s="155"/>
      <c r="F631" s="155"/>
      <c r="G631" s="155"/>
    </row>
    <row r="632" spans="2:7" x14ac:dyDescent="0.2">
      <c r="B632" s="155"/>
      <c r="C632" s="155"/>
      <c r="D632" s="155"/>
      <c r="E632" s="155"/>
      <c r="F632" s="155"/>
      <c r="G632" s="155"/>
    </row>
    <row r="633" spans="2:7" x14ac:dyDescent="0.2">
      <c r="B633" s="155"/>
      <c r="C633" s="155"/>
      <c r="D633" s="155"/>
      <c r="E633" s="155"/>
      <c r="F633" s="155"/>
      <c r="G633" s="155"/>
    </row>
    <row r="634" spans="2:7" x14ac:dyDescent="0.2">
      <c r="B634" s="155"/>
      <c r="C634" s="155"/>
      <c r="D634" s="155"/>
      <c r="E634" s="155"/>
      <c r="F634" s="155"/>
      <c r="G634" s="155"/>
    </row>
    <row r="635" spans="2:7" x14ac:dyDescent="0.2">
      <c r="B635" s="155"/>
      <c r="C635" s="155"/>
      <c r="D635" s="155"/>
      <c r="E635" s="155"/>
      <c r="F635" s="155"/>
      <c r="G635" s="155"/>
    </row>
    <row r="636" spans="2:7" x14ac:dyDescent="0.2">
      <c r="B636" s="155"/>
      <c r="C636" s="155"/>
      <c r="D636" s="155"/>
      <c r="E636" s="155"/>
      <c r="F636" s="155"/>
      <c r="G636" s="155"/>
    </row>
    <row r="637" spans="2:7" x14ac:dyDescent="0.2">
      <c r="B637" s="155"/>
      <c r="C637" s="155"/>
      <c r="D637" s="155"/>
      <c r="E637" s="155"/>
      <c r="F637" s="155"/>
      <c r="G637" s="155"/>
    </row>
    <row r="638" spans="2:7" x14ac:dyDescent="0.2">
      <c r="B638" s="155"/>
      <c r="C638" s="155"/>
      <c r="D638" s="155"/>
      <c r="E638" s="155"/>
      <c r="F638" s="155"/>
      <c r="G638" s="155"/>
    </row>
    <row r="639" spans="2:7" x14ac:dyDescent="0.2">
      <c r="B639" s="155"/>
      <c r="C639" s="155"/>
      <c r="D639" s="155"/>
      <c r="E639" s="155"/>
      <c r="F639" s="155"/>
      <c r="G639" s="155"/>
    </row>
    <row r="640" spans="2:7" x14ac:dyDescent="0.2">
      <c r="B640" s="155"/>
      <c r="C640" s="155"/>
      <c r="D640" s="155"/>
      <c r="E640" s="155"/>
      <c r="F640" s="155"/>
      <c r="G640" s="155"/>
    </row>
    <row r="641" spans="2:7" x14ac:dyDescent="0.2">
      <c r="B641" s="155"/>
      <c r="C641" s="155"/>
      <c r="D641" s="155"/>
      <c r="E641" s="155"/>
      <c r="F641" s="155"/>
      <c r="G641" s="155"/>
    </row>
    <row r="642" spans="2:7" x14ac:dyDescent="0.2">
      <c r="B642" s="155"/>
      <c r="C642" s="155"/>
      <c r="D642" s="155"/>
      <c r="E642" s="155"/>
      <c r="F642" s="155"/>
      <c r="G642" s="155"/>
    </row>
    <row r="643" spans="2:7" x14ac:dyDescent="0.2">
      <c r="B643" s="155"/>
      <c r="C643" s="155"/>
      <c r="D643" s="155"/>
      <c r="E643" s="155"/>
      <c r="F643" s="155"/>
      <c r="G643" s="155"/>
    </row>
    <row r="644" spans="2:7" x14ac:dyDescent="0.2">
      <c r="B644" s="155"/>
      <c r="C644" s="155"/>
      <c r="D644" s="155"/>
      <c r="E644" s="155"/>
      <c r="F644" s="155"/>
      <c r="G644" s="155"/>
    </row>
    <row r="645" spans="2:7" x14ac:dyDescent="0.2">
      <c r="B645" s="155"/>
      <c r="C645" s="155"/>
      <c r="D645" s="155"/>
      <c r="E645" s="155"/>
      <c r="F645" s="155"/>
      <c r="G645" s="155"/>
    </row>
    <row r="646" spans="2:7" x14ac:dyDescent="0.2">
      <c r="B646" s="155"/>
      <c r="C646" s="155"/>
      <c r="D646" s="155"/>
      <c r="E646" s="155"/>
      <c r="F646" s="155"/>
      <c r="G646" s="155"/>
    </row>
    <row r="647" spans="2:7" x14ac:dyDescent="0.2">
      <c r="B647" s="155"/>
      <c r="C647" s="155"/>
      <c r="D647" s="155"/>
      <c r="E647" s="155"/>
      <c r="F647" s="155"/>
      <c r="G647" s="155"/>
    </row>
    <row r="648" spans="2:7" x14ac:dyDescent="0.2">
      <c r="B648" s="155"/>
      <c r="C648" s="155"/>
      <c r="D648" s="155"/>
      <c r="E648" s="155"/>
      <c r="F648" s="155"/>
      <c r="G648" s="155"/>
    </row>
    <row r="649" spans="2:7" x14ac:dyDescent="0.2">
      <c r="B649" s="155"/>
      <c r="C649" s="155"/>
      <c r="D649" s="155"/>
      <c r="E649" s="155"/>
      <c r="F649" s="155"/>
      <c r="G649" s="155"/>
    </row>
    <row r="650" spans="2:7" x14ac:dyDescent="0.2">
      <c r="B650" s="155"/>
      <c r="C650" s="155"/>
      <c r="D650" s="155"/>
      <c r="E650" s="155"/>
      <c r="F650" s="155"/>
      <c r="G650" s="155"/>
    </row>
    <row r="651" spans="2:7" x14ac:dyDescent="0.2">
      <c r="B651" s="155"/>
      <c r="C651" s="155"/>
      <c r="D651" s="155"/>
      <c r="E651" s="155"/>
      <c r="F651" s="155"/>
      <c r="G651" s="155"/>
    </row>
    <row r="652" spans="2:7" x14ac:dyDescent="0.2">
      <c r="B652" s="155"/>
      <c r="C652" s="155"/>
      <c r="D652" s="155"/>
      <c r="E652" s="155"/>
      <c r="F652" s="155"/>
      <c r="G652" s="155"/>
    </row>
    <row r="653" spans="2:7" x14ac:dyDescent="0.2">
      <c r="B653" s="155"/>
      <c r="C653" s="155"/>
      <c r="D653" s="155"/>
      <c r="E653" s="155"/>
      <c r="F653" s="155"/>
      <c r="G653" s="155"/>
    </row>
    <row r="654" spans="2:7" x14ac:dyDescent="0.2">
      <c r="B654" s="155"/>
      <c r="C654" s="155"/>
      <c r="D654" s="155"/>
      <c r="E654" s="155"/>
      <c r="F654" s="155"/>
      <c r="G654" s="155"/>
    </row>
    <row r="655" spans="2:7" x14ac:dyDescent="0.2">
      <c r="B655" s="155"/>
      <c r="C655" s="155"/>
      <c r="D655" s="155"/>
      <c r="E655" s="155"/>
      <c r="F655" s="155"/>
      <c r="G655" s="155"/>
    </row>
    <row r="656" spans="2:7" x14ac:dyDescent="0.2">
      <c r="B656" s="155"/>
      <c r="C656" s="155"/>
      <c r="D656" s="155"/>
      <c r="E656" s="155"/>
      <c r="F656" s="155"/>
      <c r="G656" s="155"/>
    </row>
    <row r="657" spans="2:7" x14ac:dyDescent="0.2">
      <c r="B657" s="155"/>
      <c r="C657" s="155"/>
      <c r="D657" s="155"/>
      <c r="E657" s="155"/>
      <c r="F657" s="155"/>
      <c r="G657" s="155"/>
    </row>
    <row r="658" spans="2:7" x14ac:dyDescent="0.2">
      <c r="B658" s="155"/>
      <c r="C658" s="155"/>
      <c r="D658" s="155"/>
      <c r="E658" s="155"/>
      <c r="F658" s="155"/>
      <c r="G658" s="155"/>
    </row>
    <row r="659" spans="2:7" x14ac:dyDescent="0.2">
      <c r="B659" s="155"/>
      <c r="C659" s="155"/>
      <c r="D659" s="155"/>
      <c r="E659" s="155"/>
      <c r="F659" s="155"/>
      <c r="G659" s="155"/>
    </row>
    <row r="660" spans="2:7" x14ac:dyDescent="0.2">
      <c r="B660" s="155"/>
      <c r="C660" s="155"/>
      <c r="D660" s="155"/>
      <c r="E660" s="155"/>
      <c r="F660" s="155"/>
      <c r="G660" s="155"/>
    </row>
    <row r="661" spans="2:7" x14ac:dyDescent="0.2">
      <c r="B661" s="155"/>
      <c r="C661" s="155"/>
      <c r="D661" s="155"/>
      <c r="E661" s="155"/>
      <c r="F661" s="155"/>
      <c r="G661" s="155"/>
    </row>
    <row r="662" spans="2:7" x14ac:dyDescent="0.2">
      <c r="B662" s="155"/>
      <c r="C662" s="155"/>
      <c r="D662" s="155"/>
      <c r="E662" s="155"/>
      <c r="F662" s="155"/>
      <c r="G662" s="155"/>
    </row>
    <row r="663" spans="2:7" x14ac:dyDescent="0.2">
      <c r="B663" s="155"/>
      <c r="C663" s="155"/>
      <c r="D663" s="155"/>
      <c r="E663" s="155"/>
      <c r="F663" s="155"/>
      <c r="G663" s="155"/>
    </row>
    <row r="664" spans="2:7" x14ac:dyDescent="0.2">
      <c r="B664" s="155"/>
      <c r="C664" s="155"/>
      <c r="D664" s="155"/>
      <c r="E664" s="155"/>
      <c r="F664" s="155"/>
      <c r="G664" s="155"/>
    </row>
    <row r="665" spans="2:7" x14ac:dyDescent="0.2">
      <c r="B665" s="155"/>
      <c r="C665" s="155"/>
      <c r="D665" s="155"/>
      <c r="E665" s="155"/>
      <c r="F665" s="155"/>
      <c r="G665" s="155"/>
    </row>
    <row r="666" spans="2:7" x14ac:dyDescent="0.2">
      <c r="B666" s="155"/>
      <c r="C666" s="155"/>
      <c r="D666" s="155"/>
      <c r="E666" s="155"/>
      <c r="F666" s="155"/>
      <c r="G666" s="155"/>
    </row>
    <row r="667" spans="2:7" x14ac:dyDescent="0.2">
      <c r="B667" s="155"/>
      <c r="C667" s="155"/>
      <c r="D667" s="155"/>
      <c r="E667" s="155"/>
      <c r="F667" s="155"/>
      <c r="G667" s="155"/>
    </row>
    <row r="668" spans="2:7" x14ac:dyDescent="0.2">
      <c r="B668" s="155"/>
      <c r="C668" s="155"/>
      <c r="D668" s="155"/>
      <c r="E668" s="155"/>
      <c r="F668" s="155"/>
      <c r="G668" s="155"/>
    </row>
    <row r="669" spans="2:7" x14ac:dyDescent="0.2">
      <c r="B669" s="155"/>
      <c r="C669" s="155"/>
      <c r="D669" s="155"/>
      <c r="E669" s="155"/>
      <c r="F669" s="155"/>
      <c r="G669" s="155"/>
    </row>
    <row r="670" spans="2:7" x14ac:dyDescent="0.2">
      <c r="B670" s="155"/>
      <c r="C670" s="155"/>
      <c r="D670" s="155"/>
      <c r="E670" s="155"/>
      <c r="F670" s="155"/>
      <c r="G670" s="155"/>
    </row>
    <row r="671" spans="2:7" x14ac:dyDescent="0.2">
      <c r="B671" s="155"/>
      <c r="C671" s="155"/>
      <c r="D671" s="155"/>
      <c r="E671" s="155"/>
      <c r="F671" s="155"/>
      <c r="G671" s="155"/>
    </row>
    <row r="672" spans="2:7" x14ac:dyDescent="0.2">
      <c r="B672" s="155"/>
      <c r="C672" s="155"/>
      <c r="D672" s="155"/>
      <c r="E672" s="155"/>
      <c r="F672" s="155"/>
      <c r="G672" s="155"/>
    </row>
    <row r="673" spans="2:7" x14ac:dyDescent="0.2">
      <c r="B673" s="155"/>
      <c r="C673" s="155"/>
      <c r="D673" s="155"/>
      <c r="E673" s="155"/>
      <c r="F673" s="155"/>
      <c r="G673" s="155"/>
    </row>
    <row r="674" spans="2:7" x14ac:dyDescent="0.2">
      <c r="B674" s="155"/>
      <c r="C674" s="155"/>
      <c r="D674" s="155"/>
      <c r="E674" s="155"/>
      <c r="F674" s="155"/>
      <c r="G674" s="155"/>
    </row>
    <row r="675" spans="2:7" x14ac:dyDescent="0.2">
      <c r="B675" s="155"/>
      <c r="C675" s="155"/>
      <c r="D675" s="155"/>
      <c r="E675" s="155"/>
      <c r="F675" s="155"/>
      <c r="G675" s="155"/>
    </row>
    <row r="676" spans="2:7" x14ac:dyDescent="0.2">
      <c r="B676" s="155"/>
      <c r="C676" s="155"/>
      <c r="D676" s="155"/>
      <c r="E676" s="155"/>
      <c r="F676" s="155"/>
      <c r="G676" s="155"/>
    </row>
    <row r="677" spans="2:7" x14ac:dyDescent="0.2">
      <c r="B677" s="155"/>
      <c r="C677" s="155"/>
      <c r="D677" s="155"/>
      <c r="E677" s="155"/>
      <c r="F677" s="155"/>
      <c r="G677" s="155"/>
    </row>
    <row r="678" spans="2:7" x14ac:dyDescent="0.2">
      <c r="B678" s="155"/>
      <c r="C678" s="155"/>
      <c r="D678" s="155"/>
      <c r="E678" s="155"/>
      <c r="F678" s="155"/>
      <c r="G678" s="155"/>
    </row>
    <row r="679" spans="2:7" x14ac:dyDescent="0.2">
      <c r="B679" s="155"/>
      <c r="C679" s="155"/>
      <c r="D679" s="155"/>
      <c r="E679" s="155"/>
      <c r="F679" s="155"/>
      <c r="G679" s="155"/>
    </row>
    <row r="680" spans="2:7" x14ac:dyDescent="0.2">
      <c r="B680" s="155"/>
      <c r="C680" s="155"/>
      <c r="D680" s="155"/>
      <c r="E680" s="155"/>
      <c r="F680" s="155"/>
      <c r="G680" s="155"/>
    </row>
    <row r="681" spans="2:7" x14ac:dyDescent="0.2">
      <c r="B681" s="155"/>
      <c r="C681" s="155"/>
      <c r="D681" s="155"/>
      <c r="E681" s="155"/>
      <c r="F681" s="155"/>
      <c r="G681" s="155"/>
    </row>
    <row r="682" spans="2:7" x14ac:dyDescent="0.2">
      <c r="B682" s="155"/>
      <c r="C682" s="155"/>
      <c r="D682" s="155"/>
      <c r="E682" s="155"/>
      <c r="F682" s="155"/>
      <c r="G682" s="155"/>
    </row>
    <row r="683" spans="2:7" x14ac:dyDescent="0.2">
      <c r="B683" s="155"/>
      <c r="C683" s="155"/>
      <c r="D683" s="155"/>
      <c r="E683" s="155"/>
      <c r="F683" s="155"/>
      <c r="G683" s="155"/>
    </row>
    <row r="684" spans="2:7" x14ac:dyDescent="0.2">
      <c r="B684" s="155"/>
      <c r="C684" s="155"/>
      <c r="D684" s="155"/>
      <c r="E684" s="155"/>
      <c r="F684" s="155"/>
      <c r="G684" s="155"/>
    </row>
    <row r="685" spans="2:7" x14ac:dyDescent="0.2">
      <c r="B685" s="155"/>
      <c r="C685" s="155"/>
      <c r="D685" s="155"/>
      <c r="E685" s="155"/>
      <c r="F685" s="155"/>
      <c r="G685" s="155"/>
    </row>
    <row r="686" spans="2:7" x14ac:dyDescent="0.2">
      <c r="B686" s="155"/>
      <c r="C686" s="155"/>
      <c r="D686" s="155"/>
      <c r="E686" s="155"/>
      <c r="F686" s="155"/>
      <c r="G686" s="155"/>
    </row>
    <row r="687" spans="2:7" x14ac:dyDescent="0.2">
      <c r="B687" s="155"/>
      <c r="C687" s="155"/>
      <c r="D687" s="155"/>
      <c r="E687" s="155"/>
      <c r="F687" s="155"/>
      <c r="G687" s="155"/>
    </row>
    <row r="688" spans="2:7" x14ac:dyDescent="0.2">
      <c r="B688" s="155"/>
      <c r="C688" s="155"/>
      <c r="D688" s="155"/>
      <c r="E688" s="155"/>
      <c r="F688" s="155"/>
      <c r="G688" s="155"/>
    </row>
    <row r="689" spans="2:7" x14ac:dyDescent="0.2">
      <c r="B689" s="155"/>
      <c r="C689" s="155"/>
      <c r="D689" s="155"/>
      <c r="E689" s="155"/>
      <c r="F689" s="155"/>
      <c r="G689" s="155"/>
    </row>
    <row r="690" spans="2:7" x14ac:dyDescent="0.2">
      <c r="B690" s="155"/>
      <c r="C690" s="155"/>
      <c r="D690" s="155"/>
      <c r="E690" s="155"/>
      <c r="F690" s="155"/>
      <c r="G690" s="155"/>
    </row>
    <row r="691" spans="2:7" x14ac:dyDescent="0.2">
      <c r="B691" s="155"/>
      <c r="C691" s="155"/>
      <c r="D691" s="155"/>
      <c r="E691" s="155"/>
      <c r="F691" s="155"/>
      <c r="G691" s="155"/>
    </row>
    <row r="692" spans="2:7" x14ac:dyDescent="0.2">
      <c r="B692" s="155"/>
      <c r="C692" s="155"/>
      <c r="D692" s="155"/>
      <c r="E692" s="155"/>
      <c r="F692" s="155"/>
      <c r="G692" s="155"/>
    </row>
    <row r="693" spans="2:7" x14ac:dyDescent="0.2">
      <c r="B693" s="155"/>
      <c r="C693" s="155"/>
      <c r="D693" s="155"/>
      <c r="E693" s="155"/>
      <c r="F693" s="155"/>
      <c r="G693" s="155"/>
    </row>
    <row r="694" spans="2:7" x14ac:dyDescent="0.2">
      <c r="B694" s="155"/>
      <c r="C694" s="155"/>
      <c r="D694" s="155"/>
      <c r="E694" s="155"/>
      <c r="F694" s="155"/>
      <c r="G694" s="155"/>
    </row>
    <row r="695" spans="2:7" x14ac:dyDescent="0.2">
      <c r="B695" s="155"/>
      <c r="C695" s="155"/>
      <c r="D695" s="155"/>
      <c r="E695" s="155"/>
      <c r="F695" s="155"/>
      <c r="G695" s="155"/>
    </row>
    <row r="696" spans="2:7" x14ac:dyDescent="0.2">
      <c r="B696" s="155"/>
      <c r="C696" s="155"/>
      <c r="D696" s="155"/>
      <c r="E696" s="155"/>
      <c r="F696" s="155"/>
      <c r="G696" s="155"/>
    </row>
    <row r="697" spans="2:7" x14ac:dyDescent="0.2">
      <c r="B697" s="155"/>
      <c r="C697" s="155"/>
      <c r="D697" s="155"/>
      <c r="E697" s="155"/>
      <c r="F697" s="155"/>
      <c r="G697" s="155"/>
    </row>
    <row r="698" spans="2:7" x14ac:dyDescent="0.2">
      <c r="B698" s="155"/>
      <c r="C698" s="155"/>
      <c r="D698" s="155"/>
      <c r="E698" s="155"/>
      <c r="F698" s="155"/>
      <c r="G698" s="155"/>
    </row>
    <row r="699" spans="2:7" x14ac:dyDescent="0.2">
      <c r="B699" s="155"/>
      <c r="C699" s="155"/>
      <c r="D699" s="155"/>
      <c r="E699" s="155"/>
      <c r="F699" s="155"/>
      <c r="G699" s="155"/>
    </row>
    <row r="700" spans="2:7" x14ac:dyDescent="0.2">
      <c r="B700" s="155"/>
      <c r="C700" s="155"/>
      <c r="D700" s="155"/>
      <c r="E700" s="155"/>
      <c r="F700" s="155"/>
      <c r="G700" s="155"/>
    </row>
    <row r="701" spans="2:7" x14ac:dyDescent="0.2">
      <c r="B701" s="155"/>
      <c r="C701" s="155"/>
      <c r="D701" s="155"/>
      <c r="E701" s="155"/>
      <c r="F701" s="155"/>
      <c r="G701" s="155"/>
    </row>
    <row r="702" spans="2:7" x14ac:dyDescent="0.2">
      <c r="B702" s="155"/>
      <c r="C702" s="155"/>
      <c r="D702" s="155"/>
      <c r="E702" s="155"/>
      <c r="F702" s="155"/>
      <c r="G702" s="155"/>
    </row>
    <row r="703" spans="2:7" x14ac:dyDescent="0.2">
      <c r="B703" s="155"/>
      <c r="C703" s="155"/>
      <c r="D703" s="155"/>
      <c r="E703" s="155"/>
      <c r="F703" s="155"/>
      <c r="G703" s="155"/>
    </row>
    <row r="704" spans="2:7" x14ac:dyDescent="0.2">
      <c r="B704" s="155"/>
      <c r="C704" s="155"/>
      <c r="D704" s="155"/>
      <c r="E704" s="155"/>
      <c r="F704" s="155"/>
      <c r="G704" s="155"/>
    </row>
    <row r="705" spans="2:7" x14ac:dyDescent="0.2">
      <c r="B705" s="155"/>
      <c r="C705" s="155"/>
      <c r="D705" s="155"/>
      <c r="E705" s="155"/>
      <c r="F705" s="155"/>
      <c r="G705" s="155"/>
    </row>
    <row r="706" spans="2:7" x14ac:dyDescent="0.2">
      <c r="B706" s="155"/>
      <c r="C706" s="155"/>
      <c r="D706" s="155"/>
      <c r="E706" s="155"/>
      <c r="F706" s="155"/>
      <c r="G706" s="155"/>
    </row>
    <row r="707" spans="2:7" x14ac:dyDescent="0.2">
      <c r="B707" s="155"/>
      <c r="C707" s="155"/>
      <c r="D707" s="155"/>
      <c r="E707" s="155"/>
      <c r="F707" s="155"/>
      <c r="G707" s="155"/>
    </row>
    <row r="708" spans="2:7" x14ac:dyDescent="0.2">
      <c r="B708" s="155"/>
      <c r="C708" s="155"/>
      <c r="D708" s="155"/>
      <c r="E708" s="155"/>
      <c r="F708" s="155"/>
      <c r="G708" s="155"/>
    </row>
    <row r="709" spans="2:7" x14ac:dyDescent="0.2">
      <c r="B709" s="155"/>
      <c r="C709" s="155"/>
      <c r="D709" s="155"/>
      <c r="E709" s="155"/>
      <c r="F709" s="155"/>
      <c r="G709" s="155"/>
    </row>
    <row r="710" spans="2:7" x14ac:dyDescent="0.2">
      <c r="B710" s="155"/>
      <c r="C710" s="155"/>
      <c r="D710" s="155"/>
      <c r="E710" s="155"/>
      <c r="F710" s="155"/>
      <c r="G710" s="155"/>
    </row>
    <row r="711" spans="2:7" x14ac:dyDescent="0.2">
      <c r="B711" s="155"/>
      <c r="C711" s="155"/>
      <c r="D711" s="155"/>
      <c r="E711" s="155"/>
      <c r="F711" s="155"/>
      <c r="G711" s="155"/>
    </row>
    <row r="712" spans="2:7" x14ac:dyDescent="0.2">
      <c r="B712" s="155"/>
      <c r="C712" s="155"/>
      <c r="D712" s="155"/>
      <c r="E712" s="155"/>
      <c r="F712" s="155"/>
      <c r="G712" s="155"/>
    </row>
    <row r="713" spans="2:7" x14ac:dyDescent="0.2">
      <c r="B713" s="155"/>
      <c r="C713" s="155"/>
      <c r="D713" s="155"/>
      <c r="E713" s="155"/>
      <c r="F713" s="155"/>
      <c r="G713" s="155"/>
    </row>
    <row r="714" spans="2:7" x14ac:dyDescent="0.2">
      <c r="B714" s="155"/>
      <c r="C714" s="155"/>
      <c r="D714" s="155"/>
      <c r="E714" s="155"/>
      <c r="F714" s="155"/>
      <c r="G714" s="155"/>
    </row>
    <row r="715" spans="2:7" x14ac:dyDescent="0.2">
      <c r="B715" s="155"/>
      <c r="C715" s="155"/>
      <c r="D715" s="155"/>
      <c r="E715" s="155"/>
      <c r="F715" s="155"/>
      <c r="G715" s="155"/>
    </row>
    <row r="716" spans="2:7" x14ac:dyDescent="0.2">
      <c r="B716" s="155"/>
      <c r="C716" s="155"/>
      <c r="D716" s="155"/>
      <c r="E716" s="155"/>
      <c r="F716" s="155"/>
      <c r="G716" s="155"/>
    </row>
    <row r="717" spans="2:7" x14ac:dyDescent="0.2">
      <c r="B717" s="155"/>
      <c r="C717" s="155"/>
      <c r="D717" s="155"/>
      <c r="E717" s="155"/>
      <c r="F717" s="155"/>
      <c r="G717" s="155"/>
    </row>
    <row r="718" spans="2:7" x14ac:dyDescent="0.2">
      <c r="B718" s="155"/>
      <c r="C718" s="155"/>
      <c r="D718" s="155"/>
      <c r="E718" s="155"/>
      <c r="F718" s="155"/>
      <c r="G718" s="155"/>
    </row>
    <row r="719" spans="2:7" x14ac:dyDescent="0.2">
      <c r="B719" s="155"/>
      <c r="C719" s="155"/>
      <c r="D719" s="155"/>
      <c r="E719" s="155"/>
      <c r="F719" s="155"/>
      <c r="G719" s="155"/>
    </row>
    <row r="720" spans="2:7" x14ac:dyDescent="0.2">
      <c r="B720" s="155"/>
      <c r="C720" s="155"/>
      <c r="D720" s="155"/>
      <c r="E720" s="155"/>
      <c r="F720" s="155"/>
      <c r="G720" s="155"/>
    </row>
    <row r="721" spans="2:7" x14ac:dyDescent="0.2">
      <c r="B721" s="155"/>
      <c r="C721" s="155"/>
      <c r="D721" s="155"/>
      <c r="E721" s="155"/>
      <c r="F721" s="155"/>
      <c r="G721" s="155"/>
    </row>
    <row r="722" spans="2:7" x14ac:dyDescent="0.2">
      <c r="B722" s="155"/>
      <c r="C722" s="155"/>
      <c r="D722" s="155"/>
      <c r="E722" s="155"/>
      <c r="F722" s="155"/>
      <c r="G722" s="155"/>
    </row>
    <row r="723" spans="2:7" x14ac:dyDescent="0.2">
      <c r="B723" s="155"/>
      <c r="C723" s="155"/>
      <c r="D723" s="155"/>
      <c r="E723" s="155"/>
      <c r="F723" s="155"/>
      <c r="G723" s="155"/>
    </row>
    <row r="724" spans="2:7" x14ac:dyDescent="0.2">
      <c r="B724" s="155"/>
      <c r="C724" s="155"/>
      <c r="D724" s="155"/>
      <c r="E724" s="155"/>
      <c r="F724" s="155"/>
      <c r="G724" s="155"/>
    </row>
    <row r="725" spans="2:7" x14ac:dyDescent="0.2">
      <c r="B725" s="155"/>
      <c r="C725" s="155"/>
      <c r="D725" s="155"/>
      <c r="E725" s="155"/>
      <c r="F725" s="155"/>
      <c r="G725" s="155"/>
    </row>
    <row r="726" spans="2:7" x14ac:dyDescent="0.2">
      <c r="B726" s="155"/>
      <c r="C726" s="155"/>
      <c r="D726" s="155"/>
      <c r="E726" s="155"/>
      <c r="F726" s="155"/>
      <c r="G726" s="155"/>
    </row>
    <row r="727" spans="2:7" x14ac:dyDescent="0.2">
      <c r="B727" s="155"/>
      <c r="C727" s="155"/>
      <c r="D727" s="155"/>
      <c r="E727" s="155"/>
      <c r="F727" s="155"/>
      <c r="G727" s="155"/>
    </row>
    <row r="728" spans="2:7" x14ac:dyDescent="0.2">
      <c r="B728" s="155"/>
      <c r="C728" s="155"/>
      <c r="D728" s="155"/>
      <c r="E728" s="155"/>
      <c r="F728" s="155"/>
      <c r="G728" s="155"/>
    </row>
    <row r="729" spans="2:7" x14ac:dyDescent="0.2">
      <c r="B729" s="155"/>
      <c r="C729" s="155"/>
      <c r="D729" s="155"/>
      <c r="E729" s="155"/>
      <c r="F729" s="155"/>
      <c r="G729" s="155"/>
    </row>
    <row r="730" spans="2:7" x14ac:dyDescent="0.2">
      <c r="B730" s="155"/>
      <c r="C730" s="155"/>
      <c r="D730" s="155"/>
      <c r="E730" s="155"/>
      <c r="F730" s="155"/>
      <c r="G730" s="155"/>
    </row>
    <row r="731" spans="2:7" x14ac:dyDescent="0.2">
      <c r="B731" s="155"/>
      <c r="C731" s="155"/>
      <c r="D731" s="155"/>
      <c r="E731" s="155"/>
      <c r="F731" s="155"/>
      <c r="G731" s="155"/>
    </row>
    <row r="732" spans="2:7" x14ac:dyDescent="0.2">
      <c r="B732" s="155"/>
      <c r="C732" s="155"/>
      <c r="D732" s="155"/>
      <c r="E732" s="155"/>
      <c r="F732" s="155"/>
      <c r="G732" s="155"/>
    </row>
    <row r="733" spans="2:7" x14ac:dyDescent="0.2">
      <c r="B733" s="155"/>
      <c r="C733" s="155"/>
      <c r="D733" s="155"/>
      <c r="E733" s="155"/>
      <c r="F733" s="155"/>
      <c r="G733" s="155"/>
    </row>
    <row r="734" spans="2:7" x14ac:dyDescent="0.2">
      <c r="B734" s="155"/>
      <c r="C734" s="155"/>
      <c r="D734" s="155"/>
      <c r="E734" s="155"/>
      <c r="F734" s="155"/>
      <c r="G734" s="155"/>
    </row>
    <row r="735" spans="2:7" x14ac:dyDescent="0.2">
      <c r="B735" s="155"/>
      <c r="C735" s="155"/>
      <c r="D735" s="155"/>
      <c r="E735" s="155"/>
      <c r="F735" s="155"/>
      <c r="G735" s="155"/>
    </row>
    <row r="736" spans="2:7" x14ac:dyDescent="0.2">
      <c r="B736" s="155"/>
      <c r="C736" s="155"/>
      <c r="D736" s="155"/>
      <c r="E736" s="155"/>
      <c r="F736" s="155"/>
      <c r="G736" s="155"/>
    </row>
    <row r="737" spans="2:7" x14ac:dyDescent="0.2">
      <c r="B737" s="155"/>
      <c r="C737" s="155"/>
      <c r="D737" s="155"/>
      <c r="E737" s="155"/>
      <c r="F737" s="155"/>
      <c r="G737" s="155"/>
    </row>
    <row r="738" spans="2:7" x14ac:dyDescent="0.2">
      <c r="B738" s="155"/>
      <c r="C738" s="155"/>
      <c r="D738" s="155"/>
      <c r="E738" s="155"/>
      <c r="F738" s="155"/>
      <c r="G738" s="155"/>
    </row>
    <row r="739" spans="2:7" x14ac:dyDescent="0.2">
      <c r="B739" s="155"/>
      <c r="C739" s="155"/>
      <c r="D739" s="155"/>
      <c r="E739" s="155"/>
      <c r="F739" s="155"/>
      <c r="G739" s="155"/>
    </row>
    <row r="740" spans="2:7" x14ac:dyDescent="0.2">
      <c r="B740" s="155"/>
      <c r="C740" s="155"/>
      <c r="D740" s="155"/>
      <c r="E740" s="155"/>
      <c r="F740" s="155"/>
      <c r="G740" s="155"/>
    </row>
    <row r="741" spans="2:7" x14ac:dyDescent="0.2">
      <c r="B741" s="155"/>
      <c r="C741" s="155"/>
      <c r="D741" s="155"/>
      <c r="E741" s="155"/>
      <c r="F741" s="155"/>
      <c r="G741" s="155"/>
    </row>
    <row r="742" spans="2:7" x14ac:dyDescent="0.2">
      <c r="B742" s="155"/>
      <c r="C742" s="155"/>
      <c r="D742" s="155"/>
      <c r="E742" s="155"/>
      <c r="F742" s="155"/>
      <c r="G742" s="155"/>
    </row>
    <row r="743" spans="2:7" x14ac:dyDescent="0.2">
      <c r="B743" s="155"/>
      <c r="C743" s="155"/>
      <c r="D743" s="155"/>
      <c r="E743" s="155"/>
      <c r="F743" s="155"/>
      <c r="G743" s="155"/>
    </row>
    <row r="744" spans="2:7" x14ac:dyDescent="0.2">
      <c r="B744" s="155"/>
      <c r="C744" s="155"/>
      <c r="D744" s="155"/>
      <c r="E744" s="155"/>
      <c r="F744" s="155"/>
      <c r="G744" s="155"/>
    </row>
    <row r="745" spans="2:7" x14ac:dyDescent="0.2">
      <c r="B745" s="155"/>
      <c r="C745" s="155"/>
      <c r="D745" s="155"/>
      <c r="E745" s="155"/>
      <c r="F745" s="155"/>
      <c r="G745" s="155"/>
    </row>
    <row r="746" spans="2:7" x14ac:dyDescent="0.2">
      <c r="B746" s="155"/>
      <c r="C746" s="155"/>
      <c r="D746" s="155"/>
      <c r="E746" s="155"/>
      <c r="F746" s="155"/>
      <c r="G746" s="155"/>
    </row>
    <row r="747" spans="2:7" x14ac:dyDescent="0.2">
      <c r="B747" s="155"/>
      <c r="C747" s="155"/>
      <c r="D747" s="155"/>
      <c r="E747" s="155"/>
      <c r="F747" s="155"/>
      <c r="G747" s="155"/>
    </row>
    <row r="748" spans="2:7" x14ac:dyDescent="0.2">
      <c r="B748" s="155"/>
      <c r="C748" s="155"/>
      <c r="D748" s="155"/>
      <c r="E748" s="155"/>
      <c r="F748" s="155"/>
      <c r="G748" s="155"/>
    </row>
    <row r="749" spans="2:7" x14ac:dyDescent="0.2">
      <c r="B749" s="155"/>
      <c r="C749" s="155"/>
      <c r="D749" s="155"/>
      <c r="E749" s="155"/>
      <c r="F749" s="155"/>
      <c r="G749" s="155"/>
    </row>
    <row r="750" spans="2:7" x14ac:dyDescent="0.2">
      <c r="B750" s="155"/>
      <c r="C750" s="155"/>
      <c r="D750" s="155"/>
      <c r="E750" s="155"/>
      <c r="F750" s="155"/>
      <c r="G750" s="155"/>
    </row>
    <row r="751" spans="2:7" x14ac:dyDescent="0.2">
      <c r="B751" s="155"/>
      <c r="C751" s="155"/>
      <c r="D751" s="155"/>
      <c r="E751" s="155"/>
      <c r="F751" s="155"/>
      <c r="G751" s="155"/>
    </row>
    <row r="752" spans="2:7" x14ac:dyDescent="0.2">
      <c r="B752" s="155"/>
      <c r="C752" s="155"/>
      <c r="D752" s="155"/>
      <c r="E752" s="155"/>
      <c r="F752" s="155"/>
      <c r="G752" s="155"/>
    </row>
    <row r="753" spans="2:7" x14ac:dyDescent="0.2">
      <c r="B753" s="155"/>
      <c r="C753" s="155"/>
      <c r="D753" s="155"/>
      <c r="E753" s="155"/>
      <c r="F753" s="155"/>
      <c r="G753" s="155"/>
    </row>
    <row r="754" spans="2:7" x14ac:dyDescent="0.2">
      <c r="B754" s="155"/>
      <c r="C754" s="155"/>
      <c r="D754" s="155"/>
      <c r="E754" s="155"/>
      <c r="F754" s="155"/>
      <c r="G754" s="155"/>
    </row>
    <row r="755" spans="2:7" x14ac:dyDescent="0.2">
      <c r="B755" s="155"/>
      <c r="C755" s="155"/>
      <c r="D755" s="155"/>
      <c r="E755" s="155"/>
      <c r="F755" s="155"/>
      <c r="G755" s="155"/>
    </row>
    <row r="756" spans="2:7" x14ac:dyDescent="0.2">
      <c r="B756" s="155"/>
      <c r="C756" s="155"/>
      <c r="D756" s="155"/>
      <c r="E756" s="155"/>
      <c r="F756" s="155"/>
      <c r="G756" s="155"/>
    </row>
    <row r="757" spans="2:7" x14ac:dyDescent="0.2">
      <c r="B757" s="155"/>
      <c r="C757" s="155"/>
      <c r="D757" s="155"/>
      <c r="E757" s="155"/>
      <c r="F757" s="155"/>
      <c r="G757" s="155"/>
    </row>
    <row r="758" spans="2:7" x14ac:dyDescent="0.2">
      <c r="B758" s="155"/>
      <c r="C758" s="155"/>
      <c r="D758" s="155"/>
      <c r="E758" s="155"/>
      <c r="F758" s="155"/>
      <c r="G758" s="155"/>
    </row>
    <row r="759" spans="2:7" x14ac:dyDescent="0.2">
      <c r="B759" s="155"/>
      <c r="C759" s="155"/>
      <c r="D759" s="155"/>
      <c r="E759" s="155"/>
      <c r="F759" s="155"/>
      <c r="G759" s="155"/>
    </row>
    <row r="760" spans="2:7" x14ac:dyDescent="0.2">
      <c r="B760" s="155"/>
      <c r="C760" s="155"/>
      <c r="D760" s="155"/>
      <c r="E760" s="155"/>
      <c r="F760" s="155"/>
      <c r="G760" s="155"/>
    </row>
    <row r="761" spans="2:7" x14ac:dyDescent="0.2">
      <c r="B761" s="155"/>
      <c r="C761" s="155"/>
      <c r="D761" s="155"/>
      <c r="E761" s="155"/>
      <c r="F761" s="155"/>
      <c r="G761" s="155"/>
    </row>
    <row r="762" spans="2:7" x14ac:dyDescent="0.2">
      <c r="B762" s="155"/>
      <c r="C762" s="155"/>
      <c r="D762" s="155"/>
      <c r="E762" s="155"/>
      <c r="F762" s="155"/>
      <c r="G762" s="155"/>
    </row>
    <row r="763" spans="2:7" x14ac:dyDescent="0.2">
      <c r="B763" s="155"/>
      <c r="C763" s="155"/>
      <c r="D763" s="155"/>
      <c r="E763" s="155"/>
      <c r="F763" s="155"/>
      <c r="G763" s="155"/>
    </row>
    <row r="764" spans="2:7" x14ac:dyDescent="0.2">
      <c r="B764" s="155"/>
      <c r="C764" s="155"/>
      <c r="D764" s="155"/>
      <c r="E764" s="155"/>
      <c r="F764" s="155"/>
      <c r="G764" s="155"/>
    </row>
    <row r="765" spans="2:7" x14ac:dyDescent="0.2">
      <c r="B765" s="155"/>
      <c r="C765" s="155"/>
      <c r="D765" s="155"/>
      <c r="E765" s="155"/>
      <c r="F765" s="155"/>
      <c r="G765" s="155"/>
    </row>
    <row r="766" spans="2:7" x14ac:dyDescent="0.2">
      <c r="B766" s="155"/>
      <c r="C766" s="155"/>
      <c r="D766" s="155"/>
      <c r="E766" s="155"/>
      <c r="F766" s="155"/>
      <c r="G766" s="155"/>
    </row>
    <row r="767" spans="2:7" x14ac:dyDescent="0.2">
      <c r="B767" s="155"/>
      <c r="C767" s="155"/>
      <c r="D767" s="155"/>
      <c r="E767" s="155"/>
      <c r="F767" s="155"/>
      <c r="G767" s="155"/>
    </row>
    <row r="768" spans="2:7" x14ac:dyDescent="0.2">
      <c r="B768" s="155"/>
      <c r="C768" s="155"/>
      <c r="D768" s="155"/>
      <c r="E768" s="155"/>
      <c r="F768" s="155"/>
      <c r="G768" s="155"/>
    </row>
    <row r="769" spans="2:7" x14ac:dyDescent="0.2">
      <c r="B769" s="155"/>
      <c r="C769" s="155"/>
      <c r="D769" s="155"/>
      <c r="E769" s="155"/>
      <c r="F769" s="155"/>
      <c r="G769" s="155"/>
    </row>
    <row r="770" spans="2:7" x14ac:dyDescent="0.2">
      <c r="B770" s="155"/>
      <c r="C770" s="155"/>
      <c r="D770" s="155"/>
      <c r="E770" s="155"/>
      <c r="F770" s="155"/>
      <c r="G770" s="155"/>
    </row>
    <row r="771" spans="2:7" x14ac:dyDescent="0.2">
      <c r="B771" s="155"/>
      <c r="C771" s="155"/>
      <c r="D771" s="155"/>
      <c r="E771" s="155"/>
      <c r="F771" s="155"/>
      <c r="G771" s="155"/>
    </row>
    <row r="772" spans="2:7" x14ac:dyDescent="0.2">
      <c r="B772" s="155"/>
      <c r="C772" s="155"/>
      <c r="D772" s="155"/>
      <c r="E772" s="155"/>
      <c r="F772" s="155"/>
      <c r="G772" s="155"/>
    </row>
    <row r="773" spans="2:7" x14ac:dyDescent="0.2">
      <c r="B773" s="155"/>
      <c r="C773" s="155"/>
      <c r="D773" s="155"/>
      <c r="E773" s="155"/>
      <c r="F773" s="155"/>
      <c r="G773" s="155"/>
    </row>
    <row r="774" spans="2:7" x14ac:dyDescent="0.2">
      <c r="B774" s="155"/>
      <c r="C774" s="155"/>
      <c r="D774" s="155"/>
      <c r="E774" s="155"/>
      <c r="F774" s="155"/>
      <c r="G774" s="155"/>
    </row>
    <row r="775" spans="2:7" x14ac:dyDescent="0.2">
      <c r="B775" s="155"/>
      <c r="C775" s="155"/>
      <c r="D775" s="155"/>
      <c r="E775" s="155"/>
      <c r="F775" s="155"/>
      <c r="G775" s="155"/>
    </row>
    <row r="776" spans="2:7" x14ac:dyDescent="0.2">
      <c r="B776" s="155"/>
      <c r="C776" s="155"/>
      <c r="D776" s="155"/>
      <c r="E776" s="155"/>
      <c r="F776" s="155"/>
      <c r="G776" s="155"/>
    </row>
    <row r="777" spans="2:7" x14ac:dyDescent="0.2">
      <c r="B777" s="155"/>
      <c r="C777" s="155"/>
      <c r="D777" s="155"/>
      <c r="E777" s="155"/>
      <c r="F777" s="155"/>
      <c r="G777" s="155"/>
    </row>
    <row r="778" spans="2:7" x14ac:dyDescent="0.2">
      <c r="B778" s="155"/>
      <c r="C778" s="155"/>
      <c r="D778" s="155"/>
      <c r="E778" s="155"/>
      <c r="F778" s="155"/>
      <c r="G778" s="155"/>
    </row>
    <row r="779" spans="2:7" x14ac:dyDescent="0.2">
      <c r="B779" s="155"/>
      <c r="C779" s="155"/>
      <c r="D779" s="155"/>
      <c r="E779" s="155"/>
      <c r="F779" s="155"/>
      <c r="G779" s="155"/>
    </row>
    <row r="780" spans="2:7" x14ac:dyDescent="0.2">
      <c r="B780" s="155"/>
      <c r="C780" s="155"/>
      <c r="D780" s="155"/>
      <c r="E780" s="155"/>
      <c r="F780" s="155"/>
      <c r="G780" s="155"/>
    </row>
    <row r="781" spans="2:7" x14ac:dyDescent="0.2">
      <c r="B781" s="155"/>
      <c r="C781" s="155"/>
      <c r="D781" s="155"/>
      <c r="E781" s="155"/>
      <c r="F781" s="155"/>
      <c r="G781" s="155"/>
    </row>
    <row r="782" spans="2:7" x14ac:dyDescent="0.2">
      <c r="B782" s="155"/>
      <c r="C782" s="155"/>
      <c r="D782" s="155"/>
      <c r="E782" s="155"/>
      <c r="F782" s="155"/>
      <c r="G782" s="155"/>
    </row>
    <row r="783" spans="2:7" x14ac:dyDescent="0.2">
      <c r="B783" s="155"/>
      <c r="C783" s="155"/>
      <c r="D783" s="155"/>
      <c r="E783" s="155"/>
      <c r="F783" s="155"/>
      <c r="G783" s="155"/>
    </row>
    <row r="784" spans="2:7" x14ac:dyDescent="0.2">
      <c r="B784" s="155"/>
      <c r="C784" s="155"/>
      <c r="D784" s="155"/>
      <c r="E784" s="155"/>
      <c r="F784" s="155"/>
      <c r="G784" s="155"/>
    </row>
    <row r="785" spans="2:7" x14ac:dyDescent="0.2">
      <c r="B785" s="155"/>
      <c r="C785" s="155"/>
      <c r="D785" s="155"/>
      <c r="E785" s="155"/>
      <c r="F785" s="155"/>
      <c r="G785" s="155"/>
    </row>
    <row r="786" spans="2:7" x14ac:dyDescent="0.2">
      <c r="B786" s="155"/>
      <c r="C786" s="155"/>
      <c r="D786" s="155"/>
      <c r="E786" s="155"/>
      <c r="F786" s="155"/>
      <c r="G786" s="155"/>
    </row>
    <row r="787" spans="2:7" x14ac:dyDescent="0.2">
      <c r="B787" s="155"/>
      <c r="C787" s="155"/>
      <c r="D787" s="155"/>
      <c r="E787" s="155"/>
      <c r="F787" s="155"/>
      <c r="G787" s="155"/>
    </row>
    <row r="788" spans="2:7" x14ac:dyDescent="0.2">
      <c r="B788" s="155"/>
      <c r="C788" s="155"/>
      <c r="D788" s="155"/>
      <c r="E788" s="155"/>
      <c r="F788" s="155"/>
      <c r="G788" s="155"/>
    </row>
    <row r="789" spans="2:7" x14ac:dyDescent="0.2">
      <c r="B789" s="155"/>
      <c r="C789" s="155"/>
      <c r="D789" s="155"/>
      <c r="E789" s="155"/>
      <c r="F789" s="155"/>
      <c r="G789" s="155"/>
    </row>
    <row r="790" spans="2:7" x14ac:dyDescent="0.2">
      <c r="B790" s="155"/>
      <c r="C790" s="155"/>
      <c r="D790" s="155"/>
      <c r="E790" s="155"/>
      <c r="F790" s="155"/>
      <c r="G790" s="155"/>
    </row>
    <row r="791" spans="2:7" x14ac:dyDescent="0.2">
      <c r="B791" s="155"/>
      <c r="C791" s="155"/>
      <c r="D791" s="155"/>
      <c r="E791" s="155"/>
      <c r="F791" s="155"/>
      <c r="G791" s="155"/>
    </row>
    <row r="792" spans="2:7" x14ac:dyDescent="0.2">
      <c r="B792" s="155"/>
      <c r="C792" s="155"/>
      <c r="D792" s="155"/>
      <c r="E792" s="155"/>
      <c r="F792" s="155"/>
      <c r="G792" s="155"/>
    </row>
    <row r="793" spans="2:7" x14ac:dyDescent="0.2">
      <c r="B793" s="155"/>
      <c r="C793" s="155"/>
      <c r="D793" s="155"/>
      <c r="E793" s="155"/>
      <c r="F793" s="155"/>
      <c r="G793" s="155"/>
    </row>
    <row r="794" spans="2:7" x14ac:dyDescent="0.2">
      <c r="B794" s="155"/>
      <c r="C794" s="155"/>
      <c r="D794" s="155"/>
      <c r="E794" s="155"/>
      <c r="F794" s="155"/>
      <c r="G794" s="155"/>
    </row>
    <row r="795" spans="2:7" x14ac:dyDescent="0.2">
      <c r="B795" s="155"/>
      <c r="C795" s="155"/>
      <c r="D795" s="155"/>
      <c r="E795" s="155"/>
      <c r="F795" s="155"/>
      <c r="G795" s="155"/>
    </row>
    <row r="796" spans="2:7" x14ac:dyDescent="0.2">
      <c r="B796" s="155"/>
      <c r="C796" s="155"/>
      <c r="D796" s="155"/>
      <c r="E796" s="155"/>
      <c r="F796" s="155"/>
      <c r="G796" s="155"/>
    </row>
    <row r="797" spans="2:7" x14ac:dyDescent="0.2">
      <c r="B797" s="155"/>
      <c r="C797" s="155"/>
      <c r="D797" s="155"/>
      <c r="E797" s="155"/>
      <c r="F797" s="155"/>
      <c r="G797" s="155"/>
    </row>
    <row r="798" spans="2:7" x14ac:dyDescent="0.2">
      <c r="B798" s="155"/>
      <c r="C798" s="155"/>
      <c r="D798" s="155"/>
      <c r="E798" s="155"/>
      <c r="F798" s="155"/>
      <c r="G798" s="155"/>
    </row>
    <row r="799" spans="2:7" x14ac:dyDescent="0.2">
      <c r="B799" s="155"/>
      <c r="C799" s="155"/>
      <c r="D799" s="155"/>
      <c r="E799" s="155"/>
      <c r="F799" s="155"/>
      <c r="G799" s="155"/>
    </row>
    <row r="800" spans="2:7" x14ac:dyDescent="0.2">
      <c r="B800" s="155"/>
      <c r="C800" s="155"/>
      <c r="D800" s="155"/>
      <c r="E800" s="155"/>
      <c r="F800" s="155"/>
      <c r="G800" s="155"/>
    </row>
    <row r="801" spans="2:7" x14ac:dyDescent="0.2">
      <c r="B801" s="155"/>
      <c r="C801" s="155"/>
      <c r="D801" s="155"/>
      <c r="E801" s="155"/>
      <c r="F801" s="155"/>
      <c r="G801" s="155"/>
    </row>
    <row r="802" spans="2:7" x14ac:dyDescent="0.2">
      <c r="B802" s="155"/>
      <c r="C802" s="155"/>
      <c r="D802" s="155"/>
      <c r="E802" s="155"/>
      <c r="F802" s="155"/>
      <c r="G802" s="155"/>
    </row>
    <row r="803" spans="2:7" x14ac:dyDescent="0.2">
      <c r="B803" s="155"/>
      <c r="C803" s="155"/>
      <c r="D803" s="155"/>
      <c r="E803" s="155"/>
      <c r="F803" s="155"/>
      <c r="G803" s="155"/>
    </row>
    <row r="804" spans="2:7" x14ac:dyDescent="0.2">
      <c r="B804" s="155"/>
      <c r="C804" s="155"/>
      <c r="D804" s="155"/>
      <c r="E804" s="155"/>
      <c r="F804" s="155"/>
      <c r="G804" s="155"/>
    </row>
    <row r="805" spans="2:7" x14ac:dyDescent="0.2">
      <c r="B805" s="155"/>
      <c r="C805" s="155"/>
      <c r="D805" s="155"/>
      <c r="E805" s="155"/>
      <c r="F805" s="155"/>
      <c r="G805" s="155"/>
    </row>
    <row r="806" spans="2:7" x14ac:dyDescent="0.2">
      <c r="B806" s="155"/>
      <c r="C806" s="155"/>
      <c r="D806" s="155"/>
      <c r="E806" s="155"/>
      <c r="F806" s="155"/>
      <c r="G806" s="155"/>
    </row>
    <row r="807" spans="2:7" x14ac:dyDescent="0.2">
      <c r="B807" s="155"/>
      <c r="C807" s="155"/>
      <c r="D807" s="155"/>
      <c r="E807" s="155"/>
      <c r="F807" s="155"/>
      <c r="G807" s="155"/>
    </row>
    <row r="808" spans="2:7" x14ac:dyDescent="0.2">
      <c r="B808" s="155"/>
      <c r="C808" s="155"/>
      <c r="D808" s="155"/>
      <c r="E808" s="155"/>
      <c r="F808" s="155"/>
      <c r="G808" s="155"/>
    </row>
    <row r="809" spans="2:7" x14ac:dyDescent="0.2">
      <c r="B809" s="155"/>
      <c r="C809" s="155"/>
      <c r="D809" s="155"/>
      <c r="E809" s="155"/>
      <c r="F809" s="155"/>
      <c r="G809" s="155"/>
    </row>
    <row r="810" spans="2:7" x14ac:dyDescent="0.2">
      <c r="B810" s="155"/>
      <c r="C810" s="155"/>
      <c r="D810" s="155"/>
      <c r="E810" s="155"/>
      <c r="F810" s="155"/>
      <c r="G810" s="155"/>
    </row>
    <row r="811" spans="2:7" x14ac:dyDescent="0.2">
      <c r="B811" s="155"/>
      <c r="C811" s="155"/>
      <c r="D811" s="155"/>
      <c r="E811" s="155"/>
      <c r="F811" s="155"/>
      <c r="G811" s="155"/>
    </row>
    <row r="812" spans="2:7" x14ac:dyDescent="0.2">
      <c r="B812" s="155"/>
      <c r="C812" s="155"/>
      <c r="D812" s="155"/>
      <c r="E812" s="155"/>
      <c r="F812" s="155"/>
      <c r="G812" s="155"/>
    </row>
    <row r="813" spans="2:7" x14ac:dyDescent="0.2">
      <c r="B813" s="155"/>
      <c r="C813" s="155"/>
      <c r="D813" s="155"/>
      <c r="E813" s="155"/>
      <c r="F813" s="155"/>
      <c r="G813" s="155"/>
    </row>
    <row r="814" spans="2:7" x14ac:dyDescent="0.2">
      <c r="B814" s="155"/>
      <c r="C814" s="155"/>
      <c r="D814" s="155"/>
      <c r="E814" s="155"/>
      <c r="F814" s="155"/>
      <c r="G814" s="155"/>
    </row>
    <row r="815" spans="2:7" x14ac:dyDescent="0.2">
      <c r="B815" s="155"/>
      <c r="C815" s="155"/>
      <c r="D815" s="155"/>
      <c r="E815" s="155"/>
      <c r="F815" s="155"/>
      <c r="G815" s="155"/>
    </row>
    <row r="816" spans="2:7" x14ac:dyDescent="0.2">
      <c r="B816" s="155"/>
      <c r="C816" s="155"/>
      <c r="D816" s="155"/>
      <c r="E816" s="155"/>
      <c r="F816" s="155"/>
      <c r="G816" s="155"/>
    </row>
    <row r="817" spans="2:7" x14ac:dyDescent="0.2">
      <c r="B817" s="155"/>
      <c r="C817" s="155"/>
      <c r="D817" s="155"/>
      <c r="E817" s="155"/>
      <c r="F817" s="155"/>
      <c r="G817" s="155"/>
    </row>
    <row r="818" spans="2:7" x14ac:dyDescent="0.2">
      <c r="B818" s="155"/>
      <c r="C818" s="155"/>
      <c r="D818" s="155"/>
      <c r="E818" s="155"/>
      <c r="F818" s="155"/>
      <c r="G818" s="155"/>
    </row>
    <row r="819" spans="2:7" x14ac:dyDescent="0.2">
      <c r="B819" s="155"/>
      <c r="C819" s="155"/>
      <c r="D819" s="155"/>
      <c r="E819" s="155"/>
      <c r="F819" s="155"/>
      <c r="G819" s="155"/>
    </row>
    <row r="820" spans="2:7" x14ac:dyDescent="0.2">
      <c r="B820" s="155"/>
      <c r="C820" s="155"/>
      <c r="D820" s="155"/>
      <c r="E820" s="155"/>
      <c r="F820" s="155"/>
      <c r="G820" s="155"/>
    </row>
    <row r="821" spans="2:7" x14ac:dyDescent="0.2">
      <c r="B821" s="155"/>
      <c r="C821" s="155"/>
      <c r="D821" s="155"/>
      <c r="E821" s="155"/>
      <c r="F821" s="155"/>
      <c r="G821" s="155"/>
    </row>
    <row r="822" spans="2:7" x14ac:dyDescent="0.2">
      <c r="B822" s="155"/>
      <c r="C822" s="155"/>
      <c r="D822" s="155"/>
      <c r="E822" s="155"/>
      <c r="F822" s="155"/>
      <c r="G822" s="155"/>
    </row>
    <row r="823" spans="2:7" x14ac:dyDescent="0.2">
      <c r="B823" s="155"/>
      <c r="C823" s="155"/>
      <c r="D823" s="155"/>
      <c r="E823" s="155"/>
      <c r="F823" s="155"/>
      <c r="G823" s="155"/>
    </row>
    <row r="824" spans="2:7" x14ac:dyDescent="0.2">
      <c r="B824" s="155"/>
      <c r="C824" s="155"/>
      <c r="D824" s="155"/>
      <c r="E824" s="155"/>
      <c r="F824" s="155"/>
      <c r="G824" s="155"/>
    </row>
    <row r="825" spans="2:7" x14ac:dyDescent="0.2">
      <c r="B825" s="155"/>
      <c r="C825" s="155"/>
      <c r="D825" s="155"/>
      <c r="E825" s="155"/>
      <c r="F825" s="155"/>
      <c r="G825" s="155"/>
    </row>
    <row r="826" spans="2:7" x14ac:dyDescent="0.2">
      <c r="B826" s="155"/>
      <c r="C826" s="155"/>
      <c r="D826" s="155"/>
      <c r="E826" s="155"/>
      <c r="F826" s="155"/>
      <c r="G826" s="155"/>
    </row>
    <row r="827" spans="2:7" x14ac:dyDescent="0.2">
      <c r="B827" s="155"/>
      <c r="C827" s="155"/>
      <c r="D827" s="155"/>
      <c r="E827" s="155"/>
      <c r="F827" s="155"/>
      <c r="G827" s="155"/>
    </row>
    <row r="828" spans="2:7" x14ac:dyDescent="0.2">
      <c r="B828" s="155"/>
      <c r="C828" s="155"/>
      <c r="D828" s="155"/>
      <c r="E828" s="155"/>
      <c r="F828" s="155"/>
      <c r="G828" s="155"/>
    </row>
    <row r="829" spans="2:7" x14ac:dyDescent="0.2">
      <c r="B829" s="155"/>
      <c r="C829" s="155"/>
      <c r="D829" s="155"/>
      <c r="E829" s="155"/>
      <c r="F829" s="155"/>
      <c r="G829" s="155"/>
    </row>
    <row r="830" spans="2:7" x14ac:dyDescent="0.2">
      <c r="B830" s="155"/>
      <c r="C830" s="155"/>
      <c r="D830" s="155"/>
      <c r="E830" s="155"/>
      <c r="F830" s="155"/>
      <c r="G830" s="155"/>
    </row>
    <row r="831" spans="2:7" x14ac:dyDescent="0.2">
      <c r="B831" s="155"/>
      <c r="C831" s="155"/>
      <c r="D831" s="155"/>
      <c r="E831" s="155"/>
      <c r="F831" s="155"/>
      <c r="G831" s="155"/>
    </row>
    <row r="832" spans="2:7" x14ac:dyDescent="0.2">
      <c r="B832" s="155"/>
      <c r="C832" s="155"/>
      <c r="D832" s="155"/>
      <c r="E832" s="155"/>
      <c r="F832" s="155"/>
      <c r="G832" s="155"/>
    </row>
    <row r="833" spans="2:7" x14ac:dyDescent="0.2">
      <c r="B833" s="155"/>
      <c r="C833" s="155"/>
      <c r="D833" s="155"/>
      <c r="E833" s="155"/>
      <c r="F833" s="155"/>
      <c r="G833" s="155"/>
    </row>
    <row r="834" spans="2:7" x14ac:dyDescent="0.2">
      <c r="B834" s="155"/>
      <c r="C834" s="155"/>
      <c r="D834" s="155"/>
      <c r="E834" s="155"/>
      <c r="F834" s="155"/>
      <c r="G834" s="155"/>
    </row>
    <row r="835" spans="2:7" x14ac:dyDescent="0.2">
      <c r="B835" s="155"/>
      <c r="C835" s="155"/>
      <c r="D835" s="155"/>
      <c r="E835" s="155"/>
      <c r="F835" s="155"/>
      <c r="G835" s="155"/>
    </row>
    <row r="836" spans="2:7" x14ac:dyDescent="0.2">
      <c r="B836" s="155"/>
      <c r="C836" s="155"/>
      <c r="D836" s="155"/>
      <c r="E836" s="155"/>
      <c r="F836" s="155"/>
      <c r="G836" s="155"/>
    </row>
    <row r="837" spans="2:7" x14ac:dyDescent="0.2">
      <c r="B837" s="155"/>
      <c r="C837" s="155"/>
      <c r="D837" s="155"/>
      <c r="E837" s="155"/>
      <c r="F837" s="155"/>
      <c r="G837" s="155"/>
    </row>
    <row r="838" spans="2:7" x14ac:dyDescent="0.2">
      <c r="B838" s="155"/>
      <c r="C838" s="155"/>
      <c r="D838" s="155"/>
      <c r="E838" s="155"/>
      <c r="F838" s="155"/>
      <c r="G838" s="155"/>
    </row>
    <row r="839" spans="2:7" x14ac:dyDescent="0.2">
      <c r="B839" s="155"/>
      <c r="C839" s="155"/>
      <c r="D839" s="155"/>
      <c r="E839" s="155"/>
      <c r="F839" s="155"/>
      <c r="G839" s="155"/>
    </row>
    <row r="840" spans="2:7" x14ac:dyDescent="0.2">
      <c r="B840" s="155"/>
      <c r="C840" s="155"/>
      <c r="D840" s="155"/>
      <c r="E840" s="155"/>
      <c r="F840" s="155"/>
      <c r="G840" s="155"/>
    </row>
    <row r="841" spans="2:7" x14ac:dyDescent="0.2">
      <c r="B841" s="155"/>
      <c r="C841" s="155"/>
      <c r="D841" s="155"/>
      <c r="E841" s="155"/>
      <c r="F841" s="155"/>
      <c r="G841" s="155"/>
    </row>
    <row r="842" spans="2:7" x14ac:dyDescent="0.2">
      <c r="B842" s="155"/>
      <c r="C842" s="155"/>
      <c r="D842" s="155"/>
      <c r="E842" s="155"/>
      <c r="F842" s="155"/>
      <c r="G842" s="155"/>
    </row>
    <row r="843" spans="2:7" x14ac:dyDescent="0.2">
      <c r="B843" s="155"/>
      <c r="C843" s="155"/>
      <c r="D843" s="155"/>
      <c r="E843" s="155"/>
      <c r="F843" s="155"/>
      <c r="G843" s="155"/>
    </row>
    <row r="844" spans="2:7" x14ac:dyDescent="0.2">
      <c r="B844" s="155"/>
      <c r="C844" s="155"/>
      <c r="D844" s="155"/>
      <c r="E844" s="155"/>
      <c r="F844" s="155"/>
      <c r="G844" s="155"/>
    </row>
    <row r="845" spans="2:7" x14ac:dyDescent="0.2">
      <c r="B845" s="155"/>
      <c r="C845" s="155"/>
      <c r="D845" s="155"/>
      <c r="E845" s="155"/>
      <c r="F845" s="155"/>
      <c r="G845" s="155"/>
    </row>
    <row r="846" spans="2:7" x14ac:dyDescent="0.2">
      <c r="B846" s="155"/>
      <c r="C846" s="155"/>
      <c r="D846" s="155"/>
      <c r="E846" s="155"/>
      <c r="F846" s="155"/>
      <c r="G846" s="155"/>
    </row>
    <row r="847" spans="2:7" x14ac:dyDescent="0.2">
      <c r="B847" s="155"/>
      <c r="C847" s="155"/>
      <c r="D847" s="155"/>
      <c r="E847" s="155"/>
      <c r="F847" s="155"/>
      <c r="G847" s="155"/>
    </row>
    <row r="848" spans="2:7" x14ac:dyDescent="0.2">
      <c r="B848" s="155"/>
      <c r="C848" s="155"/>
      <c r="D848" s="155"/>
      <c r="E848" s="155"/>
      <c r="F848" s="155"/>
      <c r="G848" s="155"/>
    </row>
    <row r="849" spans="2:7" x14ac:dyDescent="0.2">
      <c r="B849" s="155"/>
      <c r="C849" s="155"/>
      <c r="D849" s="155"/>
      <c r="E849" s="155"/>
      <c r="F849" s="155"/>
      <c r="G849" s="155"/>
    </row>
    <row r="850" spans="2:7" x14ac:dyDescent="0.2">
      <c r="B850" s="155"/>
      <c r="C850" s="155"/>
      <c r="D850" s="155"/>
      <c r="E850" s="155"/>
      <c r="F850" s="155"/>
      <c r="G850" s="155"/>
    </row>
    <row r="851" spans="2:7" x14ac:dyDescent="0.2">
      <c r="B851" s="155"/>
      <c r="C851" s="155"/>
      <c r="D851" s="155"/>
      <c r="E851" s="155"/>
      <c r="F851" s="155"/>
      <c r="G851" s="155"/>
    </row>
    <row r="852" spans="2:7" x14ac:dyDescent="0.2">
      <c r="B852" s="155"/>
      <c r="C852" s="155"/>
      <c r="D852" s="155"/>
      <c r="E852" s="155"/>
      <c r="F852" s="155"/>
      <c r="G852" s="155"/>
    </row>
    <row r="853" spans="2:7" x14ac:dyDescent="0.2">
      <c r="B853" s="155"/>
      <c r="C853" s="155"/>
      <c r="D853" s="155"/>
      <c r="E853" s="155"/>
      <c r="F853" s="155"/>
      <c r="G853" s="155"/>
    </row>
    <row r="854" spans="2:7" x14ac:dyDescent="0.2">
      <c r="B854" s="155"/>
      <c r="C854" s="155"/>
      <c r="D854" s="155"/>
      <c r="E854" s="155"/>
      <c r="F854" s="155"/>
      <c r="G854" s="155"/>
    </row>
    <row r="855" spans="2:7" x14ac:dyDescent="0.2">
      <c r="B855" s="155"/>
      <c r="C855" s="155"/>
      <c r="D855" s="155"/>
      <c r="E855" s="155"/>
      <c r="F855" s="155"/>
      <c r="G855" s="155"/>
    </row>
    <row r="856" spans="2:7" x14ac:dyDescent="0.2">
      <c r="B856" s="155"/>
      <c r="C856" s="155"/>
      <c r="D856" s="155"/>
      <c r="E856" s="155"/>
      <c r="F856" s="155"/>
      <c r="G856" s="155"/>
    </row>
    <row r="857" spans="2:7" x14ac:dyDescent="0.2">
      <c r="B857" s="155"/>
      <c r="C857" s="155"/>
      <c r="D857" s="155"/>
      <c r="E857" s="155"/>
      <c r="F857" s="155"/>
      <c r="G857" s="155"/>
    </row>
    <row r="858" spans="2:7" x14ac:dyDescent="0.2">
      <c r="B858" s="155"/>
      <c r="C858" s="155"/>
      <c r="D858" s="155"/>
      <c r="E858" s="155"/>
      <c r="F858" s="155"/>
      <c r="G858" s="155"/>
    </row>
    <row r="859" spans="2:7" x14ac:dyDescent="0.2">
      <c r="B859" s="155"/>
      <c r="C859" s="155"/>
      <c r="D859" s="155"/>
      <c r="E859" s="155"/>
      <c r="F859" s="155"/>
      <c r="G859" s="155"/>
    </row>
    <row r="860" spans="2:7" x14ac:dyDescent="0.2">
      <c r="B860" s="155"/>
      <c r="C860" s="155"/>
      <c r="D860" s="155"/>
      <c r="E860" s="155"/>
      <c r="F860" s="155"/>
      <c r="G860" s="155"/>
    </row>
    <row r="861" spans="2:7" x14ac:dyDescent="0.2">
      <c r="B861" s="155"/>
      <c r="C861" s="155"/>
      <c r="D861" s="155"/>
      <c r="E861" s="155"/>
      <c r="F861" s="155"/>
      <c r="G861" s="155"/>
    </row>
    <row r="862" spans="2:7" x14ac:dyDescent="0.2">
      <c r="B862" s="155"/>
      <c r="C862" s="155"/>
      <c r="D862" s="155"/>
      <c r="E862" s="155"/>
      <c r="F862" s="155"/>
      <c r="G862" s="155"/>
    </row>
    <row r="863" spans="2:7" x14ac:dyDescent="0.2">
      <c r="B863" s="155"/>
      <c r="C863" s="155"/>
      <c r="D863" s="155"/>
      <c r="E863" s="155"/>
      <c r="F863" s="155"/>
      <c r="G863" s="155"/>
    </row>
    <row r="864" spans="2:7" x14ac:dyDescent="0.2">
      <c r="B864" s="155"/>
      <c r="C864" s="155"/>
      <c r="D864" s="155"/>
      <c r="E864" s="155"/>
      <c r="F864" s="155"/>
      <c r="G864" s="155"/>
    </row>
    <row r="865" spans="2:7" x14ac:dyDescent="0.2">
      <c r="B865" s="155"/>
      <c r="C865" s="155"/>
      <c r="D865" s="155"/>
      <c r="E865" s="155"/>
      <c r="F865" s="155"/>
      <c r="G865" s="155"/>
    </row>
    <row r="866" spans="2:7" x14ac:dyDescent="0.2">
      <c r="B866" s="155"/>
      <c r="C866" s="155"/>
      <c r="D866" s="155"/>
      <c r="E866" s="155"/>
      <c r="F866" s="155"/>
      <c r="G866" s="155"/>
    </row>
    <row r="867" spans="2:7" x14ac:dyDescent="0.2">
      <c r="B867" s="155"/>
      <c r="C867" s="155"/>
      <c r="D867" s="155"/>
      <c r="E867" s="155"/>
      <c r="F867" s="155"/>
      <c r="G867" s="155"/>
    </row>
    <row r="868" spans="2:7" x14ac:dyDescent="0.2">
      <c r="B868" s="155"/>
      <c r="C868" s="155"/>
      <c r="D868" s="155"/>
      <c r="E868" s="155"/>
      <c r="F868" s="155"/>
      <c r="G868" s="155"/>
    </row>
    <row r="869" spans="2:7" x14ac:dyDescent="0.2">
      <c r="B869" s="155"/>
      <c r="C869" s="155"/>
      <c r="D869" s="155"/>
      <c r="E869" s="155"/>
      <c r="F869" s="155"/>
      <c r="G869" s="155"/>
    </row>
    <row r="870" spans="2:7" x14ac:dyDescent="0.2">
      <c r="B870" s="155"/>
      <c r="C870" s="155"/>
      <c r="D870" s="155"/>
      <c r="E870" s="155"/>
      <c r="F870" s="155"/>
      <c r="G870" s="155"/>
    </row>
    <row r="871" spans="2:7" x14ac:dyDescent="0.2">
      <c r="B871" s="155"/>
      <c r="C871" s="155"/>
      <c r="D871" s="155"/>
      <c r="E871" s="155"/>
      <c r="F871" s="155"/>
      <c r="G871" s="155"/>
    </row>
    <row r="872" spans="2:7" x14ac:dyDescent="0.2">
      <c r="B872" s="155"/>
      <c r="C872" s="155"/>
      <c r="D872" s="155"/>
      <c r="E872" s="155"/>
      <c r="F872" s="155"/>
      <c r="G872" s="155"/>
    </row>
    <row r="873" spans="2:7" x14ac:dyDescent="0.2">
      <c r="B873" s="155"/>
      <c r="C873" s="155"/>
      <c r="D873" s="155"/>
      <c r="E873" s="155"/>
      <c r="F873" s="155"/>
      <c r="G873" s="155"/>
    </row>
    <row r="874" spans="2:7" x14ac:dyDescent="0.2">
      <c r="B874" s="155"/>
      <c r="C874" s="155"/>
      <c r="D874" s="155"/>
      <c r="E874" s="155"/>
      <c r="F874" s="155"/>
      <c r="G874" s="155"/>
    </row>
    <row r="875" spans="2:7" x14ac:dyDescent="0.2">
      <c r="B875" s="155"/>
      <c r="C875" s="155"/>
      <c r="D875" s="155"/>
      <c r="E875" s="155"/>
      <c r="F875" s="155"/>
      <c r="G875" s="155"/>
    </row>
    <row r="876" spans="2:7" x14ac:dyDescent="0.2">
      <c r="B876" s="155"/>
      <c r="C876" s="155"/>
      <c r="D876" s="155"/>
      <c r="E876" s="155"/>
      <c r="F876" s="155"/>
      <c r="G876" s="155"/>
    </row>
    <row r="877" spans="2:7" x14ac:dyDescent="0.2">
      <c r="B877" s="155"/>
      <c r="C877" s="155"/>
      <c r="D877" s="155"/>
      <c r="E877" s="155"/>
      <c r="F877" s="155"/>
      <c r="G877" s="155"/>
    </row>
    <row r="878" spans="2:7" x14ac:dyDescent="0.2">
      <c r="B878" s="155"/>
      <c r="C878" s="155"/>
      <c r="D878" s="155"/>
      <c r="E878" s="155"/>
      <c r="F878" s="155"/>
      <c r="G878" s="155"/>
    </row>
    <row r="879" spans="2:7" x14ac:dyDescent="0.2">
      <c r="B879" s="155"/>
      <c r="C879" s="155"/>
      <c r="D879" s="155"/>
      <c r="E879" s="155"/>
      <c r="F879" s="155"/>
      <c r="G879" s="155"/>
    </row>
    <row r="880" spans="2:7" x14ac:dyDescent="0.2">
      <c r="B880" s="155"/>
      <c r="C880" s="155"/>
      <c r="D880" s="155"/>
      <c r="E880" s="155"/>
      <c r="F880" s="155"/>
      <c r="G880" s="155"/>
    </row>
    <row r="881" spans="2:7" x14ac:dyDescent="0.2">
      <c r="B881" s="155"/>
      <c r="C881" s="155"/>
      <c r="D881" s="155"/>
      <c r="E881" s="155"/>
      <c r="F881" s="155"/>
      <c r="G881" s="155"/>
    </row>
    <row r="882" spans="2:7" x14ac:dyDescent="0.2">
      <c r="B882" s="155"/>
      <c r="C882" s="155"/>
      <c r="D882" s="155"/>
      <c r="E882" s="155"/>
      <c r="F882" s="155"/>
      <c r="G882" s="155"/>
    </row>
    <row r="883" spans="2:7" x14ac:dyDescent="0.2">
      <c r="B883" s="155"/>
      <c r="C883" s="155"/>
      <c r="D883" s="155"/>
      <c r="E883" s="155"/>
      <c r="F883" s="155"/>
      <c r="G883" s="155"/>
    </row>
    <row r="884" spans="2:7" x14ac:dyDescent="0.2">
      <c r="B884" s="155"/>
      <c r="C884" s="155"/>
      <c r="D884" s="155"/>
      <c r="E884" s="155"/>
      <c r="F884" s="155"/>
      <c r="G884" s="155"/>
    </row>
    <row r="885" spans="2:7" x14ac:dyDescent="0.2">
      <c r="B885" s="155"/>
      <c r="C885" s="155"/>
      <c r="D885" s="155"/>
      <c r="E885" s="155"/>
      <c r="F885" s="155"/>
      <c r="G885" s="155"/>
    </row>
    <row r="886" spans="2:7" x14ac:dyDescent="0.2">
      <c r="B886" s="155"/>
      <c r="C886" s="155"/>
      <c r="D886" s="155"/>
      <c r="E886" s="155"/>
      <c r="F886" s="155"/>
      <c r="G886" s="155"/>
    </row>
    <row r="887" spans="2:7" x14ac:dyDescent="0.2">
      <c r="B887" s="155"/>
      <c r="C887" s="155"/>
      <c r="D887" s="155"/>
      <c r="E887" s="155"/>
      <c r="F887" s="155"/>
      <c r="G887" s="155"/>
    </row>
    <row r="888" spans="2:7" x14ac:dyDescent="0.2">
      <c r="B888" s="155"/>
      <c r="C888" s="155"/>
      <c r="D888" s="155"/>
      <c r="E888" s="155"/>
      <c r="F888" s="155"/>
      <c r="G888" s="155"/>
    </row>
    <row r="889" spans="2:7" x14ac:dyDescent="0.2">
      <c r="B889" s="155"/>
      <c r="C889" s="155"/>
      <c r="D889" s="155"/>
      <c r="E889" s="155"/>
      <c r="F889" s="155"/>
      <c r="G889" s="155"/>
    </row>
    <row r="890" spans="2:7" x14ac:dyDescent="0.2">
      <c r="B890" s="155"/>
      <c r="C890" s="155"/>
      <c r="D890" s="155"/>
      <c r="E890" s="155"/>
      <c r="F890" s="155"/>
      <c r="G890" s="155"/>
    </row>
    <row r="891" spans="2:7" x14ac:dyDescent="0.2">
      <c r="B891" s="155"/>
      <c r="C891" s="155"/>
      <c r="D891" s="155"/>
      <c r="E891" s="155"/>
      <c r="F891" s="155"/>
      <c r="G891" s="155"/>
    </row>
    <row r="892" spans="2:7" x14ac:dyDescent="0.2">
      <c r="B892" s="155"/>
      <c r="C892" s="155"/>
      <c r="D892" s="155"/>
      <c r="E892" s="155"/>
      <c r="F892" s="155"/>
      <c r="G892" s="155"/>
    </row>
    <row r="893" spans="2:7" x14ac:dyDescent="0.2">
      <c r="B893" s="155"/>
      <c r="C893" s="155"/>
      <c r="D893" s="155"/>
      <c r="E893" s="155"/>
      <c r="F893" s="155"/>
      <c r="G893" s="155"/>
    </row>
    <row r="894" spans="2:7" x14ac:dyDescent="0.2">
      <c r="B894" s="155"/>
      <c r="C894" s="155"/>
      <c r="D894" s="155"/>
      <c r="E894" s="155"/>
      <c r="F894" s="155"/>
      <c r="G894" s="155"/>
    </row>
    <row r="895" spans="2:7" x14ac:dyDescent="0.2">
      <c r="B895" s="155"/>
      <c r="C895" s="155"/>
      <c r="D895" s="155"/>
      <c r="E895" s="155"/>
      <c r="F895" s="155"/>
      <c r="G895" s="155"/>
    </row>
    <row r="896" spans="2:7" x14ac:dyDescent="0.2">
      <c r="B896" s="155"/>
      <c r="C896" s="155"/>
      <c r="D896" s="155"/>
      <c r="E896" s="155"/>
      <c r="F896" s="155"/>
      <c r="G896" s="155"/>
    </row>
    <row r="897" spans="2:7" x14ac:dyDescent="0.2">
      <c r="B897" s="155"/>
      <c r="C897" s="155"/>
      <c r="D897" s="155"/>
      <c r="E897" s="155"/>
      <c r="F897" s="155"/>
      <c r="G897" s="155"/>
    </row>
    <row r="898" spans="2:7" x14ac:dyDescent="0.2">
      <c r="B898" s="155"/>
      <c r="C898" s="155"/>
      <c r="D898" s="155"/>
      <c r="E898" s="155"/>
      <c r="F898" s="155"/>
      <c r="G898" s="155"/>
    </row>
    <row r="899" spans="2:7" x14ac:dyDescent="0.2">
      <c r="B899" s="155"/>
      <c r="C899" s="155"/>
      <c r="D899" s="155"/>
      <c r="E899" s="155"/>
      <c r="F899" s="155"/>
      <c r="G899" s="155"/>
    </row>
    <row r="900" spans="2:7" x14ac:dyDescent="0.2">
      <c r="B900" s="155"/>
      <c r="C900" s="155"/>
      <c r="D900" s="155"/>
      <c r="E900" s="155"/>
      <c r="F900" s="155"/>
      <c r="G900" s="155"/>
    </row>
    <row r="901" spans="2:7" x14ac:dyDescent="0.2">
      <c r="B901" s="155"/>
      <c r="C901" s="155"/>
      <c r="D901" s="155"/>
      <c r="E901" s="155"/>
      <c r="F901" s="155"/>
      <c r="G901" s="155"/>
    </row>
    <row r="902" spans="2:7" x14ac:dyDescent="0.2">
      <c r="B902" s="155"/>
      <c r="C902" s="155"/>
      <c r="D902" s="155"/>
      <c r="E902" s="155"/>
      <c r="F902" s="155"/>
      <c r="G902" s="155"/>
    </row>
    <row r="903" spans="2:7" x14ac:dyDescent="0.2">
      <c r="B903" s="155"/>
      <c r="C903" s="155"/>
      <c r="D903" s="155"/>
      <c r="E903" s="155"/>
      <c r="F903" s="155"/>
      <c r="G903" s="155"/>
    </row>
    <row r="904" spans="2:7" x14ac:dyDescent="0.2">
      <c r="B904" s="155"/>
      <c r="C904" s="155"/>
      <c r="D904" s="155"/>
      <c r="E904" s="155"/>
      <c r="F904" s="155"/>
      <c r="G904" s="155"/>
    </row>
    <row r="905" spans="2:7" x14ac:dyDescent="0.2">
      <c r="B905" s="155"/>
      <c r="C905" s="155"/>
      <c r="D905" s="155"/>
      <c r="E905" s="155"/>
      <c r="F905" s="155"/>
      <c r="G905" s="155"/>
    </row>
    <row r="906" spans="2:7" x14ac:dyDescent="0.2">
      <c r="B906" s="155"/>
      <c r="C906" s="155"/>
      <c r="D906" s="155"/>
      <c r="E906" s="155"/>
      <c r="F906" s="155"/>
      <c r="G906" s="155"/>
    </row>
    <row r="907" spans="2:7" x14ac:dyDescent="0.2">
      <c r="B907" s="155"/>
      <c r="C907" s="155"/>
      <c r="D907" s="155"/>
      <c r="E907" s="155"/>
      <c r="F907" s="155"/>
      <c r="G907" s="155"/>
    </row>
    <row r="908" spans="2:7" x14ac:dyDescent="0.2">
      <c r="B908" s="155"/>
      <c r="C908" s="155"/>
      <c r="D908" s="155"/>
      <c r="E908" s="155"/>
      <c r="F908" s="155"/>
      <c r="G908" s="155"/>
    </row>
    <row r="909" spans="2:7" x14ac:dyDescent="0.2">
      <c r="B909" s="155"/>
      <c r="C909" s="155"/>
      <c r="D909" s="155"/>
      <c r="E909" s="155"/>
      <c r="F909" s="155"/>
      <c r="G909" s="155"/>
    </row>
    <row r="910" spans="2:7" x14ac:dyDescent="0.2">
      <c r="B910" s="155"/>
      <c r="C910" s="155"/>
      <c r="D910" s="155"/>
      <c r="E910" s="155"/>
      <c r="F910" s="155"/>
      <c r="G910" s="155"/>
    </row>
    <row r="911" spans="2:7" x14ac:dyDescent="0.2">
      <c r="B911" s="155"/>
      <c r="C911" s="155"/>
      <c r="D911" s="155"/>
      <c r="E911" s="155"/>
      <c r="F911" s="155"/>
      <c r="G911" s="155"/>
    </row>
    <row r="912" spans="2:7" x14ac:dyDescent="0.2">
      <c r="B912" s="155"/>
      <c r="C912" s="155"/>
      <c r="D912" s="155"/>
      <c r="E912" s="155"/>
      <c r="F912" s="155"/>
      <c r="G912" s="155"/>
    </row>
    <row r="913" spans="2:7" x14ac:dyDescent="0.2">
      <c r="B913" s="155"/>
      <c r="C913" s="155"/>
      <c r="D913" s="155"/>
      <c r="E913" s="155"/>
      <c r="F913" s="155"/>
      <c r="G913" s="155"/>
    </row>
    <row r="914" spans="2:7" x14ac:dyDescent="0.2">
      <c r="B914" s="155"/>
      <c r="C914" s="155"/>
      <c r="D914" s="155"/>
      <c r="E914" s="155"/>
      <c r="F914" s="155"/>
      <c r="G914" s="155"/>
    </row>
    <row r="915" spans="2:7" x14ac:dyDescent="0.2">
      <c r="B915" s="155"/>
      <c r="C915" s="155"/>
      <c r="D915" s="155"/>
      <c r="E915" s="155"/>
      <c r="F915" s="155"/>
      <c r="G915" s="155"/>
    </row>
    <row r="916" spans="2:7" x14ac:dyDescent="0.2">
      <c r="B916" s="155"/>
      <c r="C916" s="155"/>
      <c r="D916" s="155"/>
      <c r="E916" s="155"/>
      <c r="F916" s="155"/>
      <c r="G916" s="155"/>
    </row>
    <row r="917" spans="2:7" x14ac:dyDescent="0.2">
      <c r="B917" s="155"/>
      <c r="C917" s="155"/>
      <c r="D917" s="155"/>
      <c r="E917" s="155"/>
      <c r="F917" s="155"/>
      <c r="G917" s="155"/>
    </row>
    <row r="918" spans="2:7" x14ac:dyDescent="0.2">
      <c r="B918" s="155"/>
      <c r="C918" s="155"/>
      <c r="D918" s="155"/>
      <c r="E918" s="155"/>
      <c r="F918" s="155"/>
      <c r="G918" s="155"/>
    </row>
    <row r="919" spans="2:7" x14ac:dyDescent="0.2">
      <c r="B919" s="155"/>
      <c r="C919" s="155"/>
      <c r="D919" s="155"/>
      <c r="E919" s="155"/>
      <c r="F919" s="155"/>
      <c r="G919" s="155"/>
    </row>
    <row r="920" spans="2:7" x14ac:dyDescent="0.2">
      <c r="B920" s="155"/>
      <c r="C920" s="155"/>
      <c r="D920" s="155"/>
      <c r="E920" s="155"/>
      <c r="F920" s="155"/>
      <c r="G920" s="155"/>
    </row>
    <row r="921" spans="2:7" x14ac:dyDescent="0.2">
      <c r="B921" s="155"/>
      <c r="C921" s="155"/>
      <c r="D921" s="155"/>
      <c r="E921" s="155"/>
      <c r="F921" s="155"/>
      <c r="G921" s="155"/>
    </row>
    <row r="922" spans="2:7" x14ac:dyDescent="0.2">
      <c r="B922" s="155"/>
      <c r="C922" s="155"/>
      <c r="D922" s="155"/>
      <c r="E922" s="155"/>
      <c r="F922" s="155"/>
      <c r="G922" s="155"/>
    </row>
    <row r="923" spans="2:7" x14ac:dyDescent="0.2">
      <c r="B923" s="155"/>
      <c r="C923" s="155"/>
      <c r="D923" s="155"/>
      <c r="E923" s="155"/>
      <c r="F923" s="155"/>
      <c r="G923" s="155"/>
    </row>
    <row r="924" spans="2:7" x14ac:dyDescent="0.2">
      <c r="B924" s="155"/>
      <c r="C924" s="155"/>
      <c r="D924" s="155"/>
      <c r="E924" s="155"/>
      <c r="F924" s="155"/>
      <c r="G924" s="155"/>
    </row>
    <row r="925" spans="2:7" x14ac:dyDescent="0.2">
      <c r="B925" s="155"/>
      <c r="C925" s="155"/>
      <c r="D925" s="155"/>
      <c r="E925" s="155"/>
      <c r="F925" s="155"/>
      <c r="G925" s="155"/>
    </row>
    <row r="926" spans="2:7" x14ac:dyDescent="0.2">
      <c r="B926" s="155"/>
      <c r="C926" s="155"/>
      <c r="D926" s="155"/>
      <c r="E926" s="155"/>
      <c r="F926" s="155"/>
      <c r="G926" s="155"/>
    </row>
    <row r="927" spans="2:7" x14ac:dyDescent="0.2">
      <c r="B927" s="155"/>
      <c r="C927" s="155"/>
      <c r="D927" s="155"/>
      <c r="E927" s="155"/>
      <c r="F927" s="155"/>
      <c r="G927" s="155"/>
    </row>
    <row r="928" spans="2:7" x14ac:dyDescent="0.2">
      <c r="B928" s="155"/>
      <c r="C928" s="155"/>
      <c r="D928" s="155"/>
      <c r="E928" s="155"/>
      <c r="F928" s="155"/>
      <c r="G928" s="155"/>
    </row>
    <row r="929" spans="2:7" x14ac:dyDescent="0.2">
      <c r="B929" s="155"/>
      <c r="C929" s="155"/>
      <c r="D929" s="155"/>
      <c r="E929" s="155"/>
      <c r="F929" s="155"/>
      <c r="G929" s="155"/>
    </row>
    <row r="930" spans="2:7" x14ac:dyDescent="0.2">
      <c r="B930" s="155"/>
      <c r="C930" s="155"/>
      <c r="D930" s="155"/>
      <c r="E930" s="155"/>
      <c r="F930" s="155"/>
      <c r="G930" s="155"/>
    </row>
    <row r="931" spans="2:7" x14ac:dyDescent="0.2">
      <c r="B931" s="155"/>
      <c r="C931" s="155"/>
      <c r="D931" s="155"/>
      <c r="E931" s="155"/>
      <c r="F931" s="155"/>
      <c r="G931" s="155"/>
    </row>
    <row r="932" spans="2:7" x14ac:dyDescent="0.2">
      <c r="B932" s="155"/>
      <c r="C932" s="155"/>
      <c r="D932" s="155"/>
      <c r="E932" s="155"/>
      <c r="F932" s="155"/>
      <c r="G932" s="155"/>
    </row>
    <row r="933" spans="2:7" x14ac:dyDescent="0.2">
      <c r="B933" s="155"/>
      <c r="C933" s="155"/>
      <c r="D933" s="155"/>
      <c r="E933" s="155"/>
      <c r="F933" s="155"/>
      <c r="G933" s="155"/>
    </row>
    <row r="934" spans="2:7" x14ac:dyDescent="0.2">
      <c r="B934" s="155"/>
      <c r="C934" s="155"/>
      <c r="D934" s="155"/>
      <c r="E934" s="155"/>
      <c r="F934" s="155"/>
      <c r="G934" s="155"/>
    </row>
    <row r="935" spans="2:7" x14ac:dyDescent="0.2">
      <c r="B935" s="155"/>
      <c r="C935" s="155"/>
      <c r="D935" s="155"/>
      <c r="E935" s="155"/>
      <c r="F935" s="155"/>
      <c r="G935" s="155"/>
    </row>
    <row r="936" spans="2:7" x14ac:dyDescent="0.2">
      <c r="B936" s="155"/>
      <c r="C936" s="155"/>
      <c r="D936" s="155"/>
      <c r="E936" s="155"/>
      <c r="F936" s="155"/>
      <c r="G936" s="155"/>
    </row>
    <row r="937" spans="2:7" x14ac:dyDescent="0.2">
      <c r="B937" s="155"/>
      <c r="C937" s="155"/>
      <c r="D937" s="155"/>
      <c r="E937" s="155"/>
      <c r="F937" s="155"/>
      <c r="G937" s="155"/>
    </row>
    <row r="938" spans="2:7" x14ac:dyDescent="0.2">
      <c r="B938" s="155"/>
      <c r="C938" s="155"/>
      <c r="D938" s="155"/>
      <c r="E938" s="155"/>
      <c r="F938" s="155"/>
      <c r="G938" s="155"/>
    </row>
    <row r="939" spans="2:7" x14ac:dyDescent="0.2">
      <c r="B939" s="155"/>
      <c r="C939" s="155"/>
      <c r="D939" s="155"/>
      <c r="E939" s="155"/>
      <c r="F939" s="155"/>
      <c r="G939" s="155"/>
    </row>
    <row r="940" spans="2:7" x14ac:dyDescent="0.2">
      <c r="B940" s="155"/>
      <c r="C940" s="155"/>
      <c r="D940" s="155"/>
      <c r="E940" s="155"/>
      <c r="F940" s="155"/>
      <c r="G940" s="155"/>
    </row>
    <row r="941" spans="2:7" x14ac:dyDescent="0.2">
      <c r="B941" s="155"/>
      <c r="C941" s="155"/>
      <c r="D941" s="155"/>
      <c r="E941" s="155"/>
      <c r="F941" s="155"/>
      <c r="G941" s="155"/>
    </row>
    <row r="942" spans="2:7" x14ac:dyDescent="0.2">
      <c r="B942" s="155"/>
      <c r="C942" s="155"/>
      <c r="D942" s="155"/>
      <c r="E942" s="155"/>
      <c r="F942" s="155"/>
      <c r="G942" s="155"/>
    </row>
    <row r="943" spans="2:7" x14ac:dyDescent="0.2">
      <c r="B943" s="155"/>
      <c r="C943" s="155"/>
      <c r="D943" s="155"/>
      <c r="E943" s="155"/>
      <c r="F943" s="155"/>
      <c r="G943" s="155"/>
    </row>
    <row r="944" spans="2:7" x14ac:dyDescent="0.2">
      <c r="B944" s="155"/>
      <c r="C944" s="155"/>
      <c r="D944" s="155"/>
      <c r="E944" s="155"/>
      <c r="F944" s="155"/>
      <c r="G944" s="155"/>
    </row>
    <row r="945" spans="2:7" x14ac:dyDescent="0.2">
      <c r="B945" s="155"/>
      <c r="C945" s="155"/>
      <c r="D945" s="155"/>
      <c r="E945" s="155"/>
      <c r="F945" s="155"/>
      <c r="G945" s="155"/>
    </row>
    <row r="946" spans="2:7" x14ac:dyDescent="0.2">
      <c r="B946" s="155"/>
      <c r="C946" s="155"/>
      <c r="D946" s="155"/>
      <c r="E946" s="155"/>
      <c r="F946" s="155"/>
      <c r="G946" s="155"/>
    </row>
    <row r="947" spans="2:7" x14ac:dyDescent="0.2">
      <c r="B947" s="155"/>
      <c r="C947" s="155"/>
      <c r="D947" s="155"/>
      <c r="E947" s="155"/>
      <c r="F947" s="155"/>
      <c r="G947" s="155"/>
    </row>
    <row r="948" spans="2:7" x14ac:dyDescent="0.2">
      <c r="B948" s="155"/>
      <c r="C948" s="155"/>
      <c r="D948" s="155"/>
      <c r="E948" s="155"/>
      <c r="F948" s="155"/>
      <c r="G948" s="155"/>
    </row>
    <row r="949" spans="2:7" x14ac:dyDescent="0.2">
      <c r="B949" s="155"/>
      <c r="C949" s="155"/>
      <c r="D949" s="155"/>
      <c r="E949" s="155"/>
      <c r="F949" s="155"/>
      <c r="G949" s="155"/>
    </row>
    <row r="950" spans="2:7" x14ac:dyDescent="0.2">
      <c r="B950" s="155"/>
      <c r="C950" s="155"/>
      <c r="D950" s="155"/>
      <c r="E950" s="155"/>
      <c r="F950" s="155"/>
      <c r="G950" s="155"/>
    </row>
    <row r="951" spans="2:7" x14ac:dyDescent="0.2">
      <c r="B951" s="155"/>
      <c r="C951" s="155"/>
      <c r="D951" s="155"/>
      <c r="E951" s="155"/>
      <c r="F951" s="155"/>
      <c r="G951" s="155"/>
    </row>
    <row r="952" spans="2:7" x14ac:dyDescent="0.2">
      <c r="B952" s="155"/>
      <c r="C952" s="155"/>
      <c r="D952" s="155"/>
      <c r="E952" s="155"/>
      <c r="F952" s="155"/>
      <c r="G952" s="155"/>
    </row>
    <row r="953" spans="2:7" x14ac:dyDescent="0.2">
      <c r="B953" s="155"/>
      <c r="C953" s="155"/>
      <c r="D953" s="155"/>
      <c r="E953" s="155"/>
      <c r="F953" s="155"/>
      <c r="G953" s="155"/>
    </row>
    <row r="954" spans="2:7" x14ac:dyDescent="0.2">
      <c r="B954" s="155"/>
      <c r="C954" s="155"/>
      <c r="D954" s="155"/>
      <c r="E954" s="155"/>
      <c r="F954" s="155"/>
      <c r="G954" s="155"/>
    </row>
    <row r="955" spans="2:7" x14ac:dyDescent="0.2">
      <c r="B955" s="155"/>
      <c r="C955" s="155"/>
      <c r="D955" s="155"/>
      <c r="E955" s="155"/>
      <c r="F955" s="155"/>
      <c r="G955" s="155"/>
    </row>
    <row r="956" spans="2:7" x14ac:dyDescent="0.2">
      <c r="B956" s="155"/>
      <c r="C956" s="155"/>
      <c r="D956" s="155"/>
      <c r="E956" s="155"/>
      <c r="F956" s="155"/>
      <c r="G956" s="155"/>
    </row>
    <row r="957" spans="2:7" x14ac:dyDescent="0.2">
      <c r="B957" s="155"/>
      <c r="C957" s="155"/>
      <c r="D957" s="155"/>
      <c r="E957" s="155"/>
      <c r="F957" s="155"/>
      <c r="G957" s="155"/>
    </row>
    <row r="958" spans="2:7" x14ac:dyDescent="0.2">
      <c r="B958" s="155"/>
      <c r="C958" s="155"/>
      <c r="D958" s="155"/>
      <c r="E958" s="155"/>
      <c r="F958" s="155"/>
      <c r="G958" s="155"/>
    </row>
    <row r="959" spans="2:7" x14ac:dyDescent="0.2">
      <c r="B959" s="155"/>
      <c r="C959" s="155"/>
      <c r="D959" s="155"/>
      <c r="E959" s="155"/>
      <c r="F959" s="155"/>
      <c r="G959" s="155"/>
    </row>
    <row r="960" spans="2:7" x14ac:dyDescent="0.2">
      <c r="B960" s="155"/>
      <c r="C960" s="155"/>
      <c r="D960" s="155"/>
      <c r="E960" s="155"/>
      <c r="F960" s="155"/>
      <c r="G960" s="155"/>
    </row>
    <row r="961" spans="2:7" x14ac:dyDescent="0.2">
      <c r="B961" s="155"/>
      <c r="C961" s="155"/>
      <c r="D961" s="155"/>
      <c r="E961" s="155"/>
      <c r="F961" s="155"/>
      <c r="G961" s="155"/>
    </row>
    <row r="962" spans="2:7" x14ac:dyDescent="0.2">
      <c r="B962" s="155"/>
      <c r="C962" s="155"/>
      <c r="D962" s="155"/>
      <c r="E962" s="155"/>
      <c r="F962" s="155"/>
      <c r="G962" s="155"/>
    </row>
    <row r="963" spans="2:7" x14ac:dyDescent="0.2">
      <c r="B963" s="155"/>
      <c r="C963" s="155"/>
      <c r="D963" s="155"/>
      <c r="E963" s="155"/>
      <c r="F963" s="155"/>
      <c r="G963" s="155"/>
    </row>
    <row r="964" spans="2:7" x14ac:dyDescent="0.2">
      <c r="B964" s="155"/>
      <c r="C964" s="155"/>
      <c r="D964" s="155"/>
      <c r="E964" s="155"/>
      <c r="F964" s="155"/>
      <c r="G964" s="155"/>
    </row>
    <row r="965" spans="2:7" x14ac:dyDescent="0.2">
      <c r="B965" s="155"/>
      <c r="C965" s="155"/>
      <c r="D965" s="155"/>
      <c r="E965" s="155"/>
      <c r="F965" s="155"/>
      <c r="G965" s="155"/>
    </row>
    <row r="966" spans="2:7" x14ac:dyDescent="0.2">
      <c r="B966" s="155"/>
      <c r="C966" s="155"/>
      <c r="D966" s="155"/>
      <c r="E966" s="155"/>
      <c r="F966" s="155"/>
      <c r="G966" s="155"/>
    </row>
    <row r="967" spans="2:7" x14ac:dyDescent="0.2">
      <c r="B967" s="155"/>
      <c r="C967" s="155"/>
      <c r="D967" s="155"/>
      <c r="E967" s="155"/>
      <c r="F967" s="155"/>
      <c r="G967" s="155"/>
    </row>
    <row r="968" spans="2:7" x14ac:dyDescent="0.2">
      <c r="B968" s="155"/>
      <c r="C968" s="155"/>
      <c r="D968" s="155"/>
      <c r="E968" s="155"/>
      <c r="F968" s="155"/>
      <c r="G968" s="155"/>
    </row>
    <row r="969" spans="2:7" x14ac:dyDescent="0.2">
      <c r="B969" s="155"/>
      <c r="C969" s="155"/>
      <c r="D969" s="155"/>
      <c r="E969" s="155"/>
      <c r="F969" s="155"/>
      <c r="G969" s="155"/>
    </row>
    <row r="970" spans="2:7" x14ac:dyDescent="0.2">
      <c r="B970" s="155"/>
      <c r="C970" s="155"/>
      <c r="D970" s="155"/>
      <c r="E970" s="155"/>
      <c r="F970" s="155"/>
      <c r="G970" s="155"/>
    </row>
    <row r="971" spans="2:7" x14ac:dyDescent="0.2">
      <c r="B971" s="155"/>
      <c r="C971" s="155"/>
      <c r="D971" s="155"/>
      <c r="E971" s="155"/>
      <c r="F971" s="155"/>
      <c r="G971" s="155"/>
    </row>
    <row r="972" spans="2:7" x14ac:dyDescent="0.2">
      <c r="B972" s="155"/>
      <c r="C972" s="155"/>
      <c r="D972" s="155"/>
      <c r="E972" s="155"/>
      <c r="F972" s="155"/>
      <c r="G972" s="155"/>
    </row>
    <row r="973" spans="2:7" x14ac:dyDescent="0.2">
      <c r="B973" s="155"/>
      <c r="C973" s="155"/>
      <c r="D973" s="155"/>
      <c r="E973" s="155"/>
      <c r="F973" s="155"/>
      <c r="G973" s="155"/>
    </row>
    <row r="974" spans="2:7" x14ac:dyDescent="0.2">
      <c r="B974" s="155"/>
      <c r="C974" s="155"/>
      <c r="D974" s="155"/>
      <c r="E974" s="155"/>
      <c r="F974" s="155"/>
      <c r="G974" s="155"/>
    </row>
    <row r="975" spans="2:7" x14ac:dyDescent="0.2">
      <c r="B975" s="155"/>
      <c r="C975" s="155"/>
      <c r="D975" s="155"/>
      <c r="E975" s="155"/>
      <c r="F975" s="155"/>
      <c r="G975" s="155"/>
    </row>
    <row r="976" spans="2:7" x14ac:dyDescent="0.2">
      <c r="B976" s="155"/>
      <c r="C976" s="155"/>
      <c r="D976" s="155"/>
      <c r="E976" s="155"/>
      <c r="F976" s="155"/>
      <c r="G976" s="155"/>
    </row>
    <row r="977" spans="2:7" x14ac:dyDescent="0.2">
      <c r="B977" s="155"/>
      <c r="C977" s="155"/>
      <c r="D977" s="155"/>
      <c r="E977" s="155"/>
      <c r="F977" s="155"/>
      <c r="G977" s="155"/>
    </row>
    <row r="978" spans="2:7" x14ac:dyDescent="0.2">
      <c r="B978" s="155"/>
      <c r="C978" s="155"/>
      <c r="D978" s="155"/>
      <c r="E978" s="155"/>
      <c r="F978" s="155"/>
      <c r="G978" s="155"/>
    </row>
    <row r="979" spans="2:7" x14ac:dyDescent="0.2">
      <c r="B979" s="155"/>
      <c r="C979" s="155"/>
      <c r="D979" s="155"/>
      <c r="E979" s="155"/>
      <c r="F979" s="155"/>
      <c r="G979" s="155"/>
    </row>
    <row r="980" spans="2:7" x14ac:dyDescent="0.2">
      <c r="B980" s="155"/>
      <c r="C980" s="155"/>
      <c r="D980" s="155"/>
      <c r="E980" s="155"/>
      <c r="F980" s="155"/>
      <c r="G980" s="155"/>
    </row>
    <row r="981" spans="2:7" x14ac:dyDescent="0.2">
      <c r="B981" s="155"/>
      <c r="C981" s="155"/>
      <c r="D981" s="155"/>
      <c r="E981" s="155"/>
      <c r="F981" s="155"/>
      <c r="G981" s="155"/>
    </row>
    <row r="982" spans="2:7" x14ac:dyDescent="0.2">
      <c r="B982" s="155"/>
      <c r="C982" s="155"/>
      <c r="D982" s="155"/>
      <c r="E982" s="155"/>
      <c r="F982" s="155"/>
      <c r="G982" s="155"/>
    </row>
    <row r="983" spans="2:7" x14ac:dyDescent="0.2">
      <c r="B983" s="155"/>
      <c r="C983" s="155"/>
      <c r="D983" s="155"/>
      <c r="E983" s="155"/>
      <c r="F983" s="155"/>
      <c r="G983" s="155"/>
    </row>
    <row r="984" spans="2:7" x14ac:dyDescent="0.2">
      <c r="B984" s="155"/>
      <c r="C984" s="155"/>
      <c r="D984" s="155"/>
      <c r="E984" s="155"/>
      <c r="F984" s="155"/>
      <c r="G984" s="155"/>
    </row>
    <row r="985" spans="2:7" x14ac:dyDescent="0.2">
      <c r="B985" s="155"/>
      <c r="C985" s="155"/>
      <c r="D985" s="155"/>
      <c r="E985" s="155"/>
      <c r="F985" s="155"/>
      <c r="G985" s="155"/>
    </row>
    <row r="986" spans="2:7" x14ac:dyDescent="0.2">
      <c r="B986" s="155"/>
      <c r="C986" s="155"/>
      <c r="D986" s="155"/>
      <c r="E986" s="155"/>
      <c r="F986" s="155"/>
      <c r="G986" s="155"/>
    </row>
    <row r="987" spans="2:7" x14ac:dyDescent="0.2">
      <c r="B987" s="155"/>
      <c r="C987" s="155"/>
      <c r="D987" s="155"/>
      <c r="E987" s="155"/>
      <c r="F987" s="155"/>
      <c r="G987" s="155"/>
    </row>
    <row r="988" spans="2:7" x14ac:dyDescent="0.2">
      <c r="B988" s="155"/>
      <c r="C988" s="155"/>
      <c r="D988" s="155"/>
      <c r="E988" s="155"/>
      <c r="F988" s="155"/>
      <c r="G988" s="155"/>
    </row>
    <row r="989" spans="2:7" x14ac:dyDescent="0.2">
      <c r="B989" s="155"/>
      <c r="C989" s="155"/>
      <c r="D989" s="155"/>
      <c r="E989" s="155"/>
      <c r="F989" s="155"/>
      <c r="G989" s="155"/>
    </row>
    <row r="990" spans="2:7" x14ac:dyDescent="0.2">
      <c r="B990" s="155"/>
      <c r="C990" s="155"/>
      <c r="D990" s="155"/>
      <c r="E990" s="155"/>
      <c r="F990" s="155"/>
      <c r="G990" s="155"/>
    </row>
    <row r="991" spans="2:7" x14ac:dyDescent="0.2">
      <c r="B991" s="155"/>
      <c r="C991" s="155"/>
      <c r="D991" s="155"/>
      <c r="E991" s="155"/>
      <c r="F991" s="155"/>
      <c r="G991" s="155"/>
    </row>
    <row r="992" spans="2:7" x14ac:dyDescent="0.2">
      <c r="B992" s="155"/>
      <c r="C992" s="155"/>
      <c r="D992" s="155"/>
      <c r="E992" s="155"/>
      <c r="F992" s="155"/>
      <c r="G992" s="155"/>
    </row>
    <row r="993" spans="2:7" x14ac:dyDescent="0.2">
      <c r="B993" s="155"/>
      <c r="C993" s="155"/>
      <c r="D993" s="155"/>
      <c r="E993" s="155"/>
      <c r="F993" s="155"/>
      <c r="G993" s="155"/>
    </row>
    <row r="994" spans="2:7" x14ac:dyDescent="0.2">
      <c r="B994" s="155"/>
      <c r="C994" s="155"/>
      <c r="D994" s="155"/>
      <c r="E994" s="155"/>
      <c r="F994" s="155"/>
      <c r="G994" s="155"/>
    </row>
    <row r="995" spans="2:7" x14ac:dyDescent="0.2">
      <c r="B995" s="155"/>
      <c r="C995" s="155"/>
      <c r="D995" s="155"/>
      <c r="E995" s="155"/>
      <c r="F995" s="155"/>
      <c r="G995" s="155"/>
    </row>
    <row r="996" spans="2:7" x14ac:dyDescent="0.2">
      <c r="B996" s="155"/>
      <c r="C996" s="155"/>
      <c r="D996" s="155"/>
      <c r="E996" s="155"/>
      <c r="F996" s="155"/>
      <c r="G996" s="155"/>
    </row>
    <row r="997" spans="2:7" x14ac:dyDescent="0.2">
      <c r="B997" s="155"/>
      <c r="C997" s="155"/>
      <c r="D997" s="155"/>
      <c r="E997" s="155"/>
      <c r="F997" s="155"/>
      <c r="G997" s="155"/>
    </row>
    <row r="998" spans="2:7" x14ac:dyDescent="0.2">
      <c r="B998" s="155"/>
      <c r="C998" s="155"/>
      <c r="D998" s="155"/>
      <c r="E998" s="155"/>
      <c r="F998" s="155"/>
      <c r="G998" s="155"/>
    </row>
    <row r="999" spans="2:7" x14ac:dyDescent="0.2">
      <c r="B999" s="155"/>
      <c r="C999" s="155"/>
      <c r="D999" s="155"/>
      <c r="E999" s="155"/>
      <c r="F999" s="155"/>
      <c r="G999" s="155"/>
    </row>
    <row r="1000" spans="2:7" x14ac:dyDescent="0.2">
      <c r="B1000" s="155"/>
      <c r="C1000" s="155"/>
      <c r="D1000" s="155"/>
      <c r="E1000" s="155"/>
      <c r="F1000" s="155"/>
      <c r="G1000" s="155"/>
    </row>
    <row r="1001" spans="2:7" x14ac:dyDescent="0.2">
      <c r="B1001" s="155"/>
      <c r="C1001" s="155"/>
      <c r="D1001" s="155"/>
      <c r="E1001" s="155"/>
      <c r="F1001" s="155"/>
      <c r="G1001" s="155"/>
    </row>
    <row r="1002" spans="2:7" x14ac:dyDescent="0.2">
      <c r="B1002" s="155"/>
      <c r="C1002" s="155"/>
      <c r="D1002" s="155"/>
      <c r="E1002" s="155"/>
      <c r="F1002" s="155"/>
      <c r="G1002" s="155"/>
    </row>
    <row r="1003" spans="2:7" x14ac:dyDescent="0.2">
      <c r="B1003" s="155"/>
      <c r="C1003" s="155"/>
      <c r="D1003" s="155"/>
      <c r="E1003" s="155"/>
      <c r="F1003" s="155"/>
      <c r="G1003" s="155"/>
    </row>
    <row r="1004" spans="2:7" x14ac:dyDescent="0.2">
      <c r="B1004" s="155"/>
      <c r="C1004" s="155"/>
      <c r="D1004" s="155"/>
      <c r="E1004" s="155"/>
      <c r="F1004" s="155"/>
      <c r="G1004" s="155"/>
    </row>
    <row r="1005" spans="2:7" x14ac:dyDescent="0.2">
      <c r="B1005" s="155"/>
      <c r="C1005" s="155"/>
      <c r="D1005" s="155"/>
      <c r="E1005" s="155"/>
      <c r="F1005" s="155"/>
      <c r="G1005" s="155"/>
    </row>
    <row r="1006" spans="2:7" x14ac:dyDescent="0.2">
      <c r="B1006" s="155"/>
      <c r="C1006" s="155"/>
      <c r="D1006" s="155"/>
      <c r="E1006" s="155"/>
      <c r="F1006" s="155"/>
      <c r="G1006" s="155"/>
    </row>
    <row r="1007" spans="2:7" x14ac:dyDescent="0.2">
      <c r="B1007" s="155"/>
      <c r="C1007" s="155"/>
      <c r="D1007" s="155"/>
      <c r="E1007" s="155"/>
      <c r="F1007" s="155"/>
      <c r="G1007" s="155"/>
    </row>
    <row r="1008" spans="2:7" x14ac:dyDescent="0.2">
      <c r="B1008" s="155"/>
      <c r="C1008" s="155"/>
      <c r="D1008" s="155"/>
      <c r="E1008" s="155"/>
      <c r="F1008" s="155"/>
      <c r="G1008" s="155"/>
    </row>
    <row r="1009" spans="2:7" x14ac:dyDescent="0.2">
      <c r="B1009" s="155"/>
      <c r="C1009" s="155"/>
      <c r="D1009" s="155"/>
      <c r="E1009" s="155"/>
      <c r="F1009" s="155"/>
      <c r="G1009" s="155"/>
    </row>
    <row r="1010" spans="2:7" x14ac:dyDescent="0.2">
      <c r="B1010" s="155"/>
      <c r="C1010" s="155"/>
      <c r="D1010" s="155"/>
      <c r="E1010" s="155"/>
      <c r="F1010" s="155"/>
      <c r="G1010" s="155"/>
    </row>
    <row r="1011" spans="2:7" x14ac:dyDescent="0.2">
      <c r="B1011" s="155"/>
      <c r="C1011" s="155"/>
      <c r="D1011" s="155"/>
      <c r="E1011" s="155"/>
      <c r="F1011" s="155"/>
      <c r="G1011" s="155"/>
    </row>
    <row r="1012" spans="2:7" x14ac:dyDescent="0.2">
      <c r="B1012" s="155"/>
      <c r="C1012" s="155"/>
      <c r="D1012" s="155"/>
      <c r="E1012" s="155"/>
      <c r="F1012" s="155"/>
      <c r="G1012" s="155"/>
    </row>
    <row r="1013" spans="2:7" x14ac:dyDescent="0.2">
      <c r="B1013" s="155"/>
      <c r="C1013" s="155"/>
      <c r="D1013" s="155"/>
      <c r="E1013" s="155"/>
      <c r="F1013" s="155"/>
      <c r="G1013" s="155"/>
    </row>
    <row r="1014" spans="2:7" x14ac:dyDescent="0.2">
      <c r="B1014" s="155"/>
      <c r="C1014" s="155"/>
      <c r="D1014" s="155"/>
      <c r="E1014" s="155"/>
      <c r="F1014" s="155"/>
      <c r="G1014" s="155"/>
    </row>
    <row r="1015" spans="2:7" x14ac:dyDescent="0.2">
      <c r="B1015" s="155"/>
      <c r="C1015" s="155"/>
      <c r="D1015" s="155"/>
      <c r="E1015" s="155"/>
      <c r="F1015" s="155"/>
      <c r="G1015" s="155"/>
    </row>
    <row r="1016" spans="2:7" x14ac:dyDescent="0.2">
      <c r="B1016" s="155"/>
      <c r="C1016" s="155"/>
      <c r="D1016" s="155"/>
      <c r="E1016" s="155"/>
      <c r="F1016" s="155"/>
      <c r="G1016" s="155"/>
    </row>
    <row r="1017" spans="2:7" x14ac:dyDescent="0.2">
      <c r="B1017" s="155"/>
      <c r="C1017" s="155"/>
      <c r="D1017" s="155"/>
      <c r="E1017" s="155"/>
      <c r="F1017" s="155"/>
      <c r="G1017" s="155"/>
    </row>
    <row r="1018" spans="2:7" x14ac:dyDescent="0.2">
      <c r="B1018" s="155"/>
      <c r="C1018" s="155"/>
      <c r="D1018" s="155"/>
      <c r="E1018" s="155"/>
      <c r="F1018" s="155"/>
      <c r="G1018" s="155"/>
    </row>
    <row r="1019" spans="2:7" x14ac:dyDescent="0.2">
      <c r="B1019" s="155"/>
      <c r="C1019" s="155"/>
      <c r="D1019" s="155"/>
      <c r="E1019" s="155"/>
      <c r="F1019" s="155"/>
      <c r="G1019" s="155"/>
    </row>
    <row r="1020" spans="2:7" x14ac:dyDescent="0.2">
      <c r="B1020" s="155"/>
      <c r="C1020" s="155"/>
      <c r="D1020" s="155"/>
      <c r="E1020" s="155"/>
      <c r="F1020" s="155"/>
      <c r="G1020" s="155"/>
    </row>
    <row r="1021" spans="2:7" x14ac:dyDescent="0.2">
      <c r="B1021" s="155"/>
      <c r="C1021" s="155"/>
      <c r="D1021" s="155"/>
      <c r="E1021" s="155"/>
      <c r="F1021" s="155"/>
      <c r="G1021" s="155"/>
    </row>
    <row r="1022" spans="2:7" x14ac:dyDescent="0.2">
      <c r="B1022" s="155"/>
      <c r="C1022" s="155"/>
      <c r="D1022" s="155"/>
      <c r="E1022" s="155"/>
      <c r="F1022" s="155"/>
      <c r="G1022" s="155"/>
    </row>
    <row r="1023" spans="2:7" x14ac:dyDescent="0.2">
      <c r="B1023" s="155"/>
      <c r="C1023" s="155"/>
      <c r="D1023" s="155"/>
      <c r="E1023" s="155"/>
      <c r="F1023" s="155"/>
      <c r="G1023" s="155"/>
    </row>
    <row r="1024" spans="2:7" x14ac:dyDescent="0.2">
      <c r="B1024" s="155"/>
      <c r="C1024" s="155"/>
      <c r="D1024" s="155"/>
      <c r="E1024" s="155"/>
      <c r="F1024" s="155"/>
      <c r="G1024" s="155"/>
    </row>
    <row r="1025" spans="2:7" x14ac:dyDescent="0.2">
      <c r="B1025" s="155"/>
      <c r="C1025" s="155"/>
      <c r="D1025" s="155"/>
      <c r="E1025" s="155"/>
      <c r="F1025" s="155"/>
      <c r="G1025" s="155"/>
    </row>
    <row r="1026" spans="2:7" x14ac:dyDescent="0.2">
      <c r="B1026" s="155"/>
      <c r="C1026" s="155"/>
      <c r="D1026" s="155"/>
      <c r="E1026" s="155"/>
      <c r="F1026" s="155"/>
      <c r="G1026" s="155"/>
    </row>
    <row r="1027" spans="2:7" x14ac:dyDescent="0.2">
      <c r="B1027" s="155"/>
      <c r="C1027" s="155"/>
      <c r="D1027" s="155"/>
      <c r="E1027" s="155"/>
      <c r="F1027" s="155"/>
      <c r="G1027" s="155"/>
    </row>
    <row r="1028" spans="2:7" x14ac:dyDescent="0.2">
      <c r="B1028" s="155"/>
      <c r="C1028" s="155"/>
      <c r="D1028" s="155"/>
      <c r="E1028" s="155"/>
      <c r="F1028" s="155"/>
      <c r="G1028" s="155"/>
    </row>
    <row r="1029" spans="2:7" x14ac:dyDescent="0.2">
      <c r="B1029" s="155"/>
      <c r="C1029" s="155"/>
      <c r="D1029" s="155"/>
      <c r="E1029" s="155"/>
      <c r="F1029" s="155"/>
      <c r="G1029" s="155"/>
    </row>
    <row r="1030" spans="2:7" x14ac:dyDescent="0.2">
      <c r="B1030" s="155"/>
      <c r="C1030" s="155"/>
      <c r="D1030" s="155"/>
      <c r="E1030" s="155"/>
      <c r="F1030" s="155"/>
      <c r="G1030" s="155"/>
    </row>
    <row r="1031" spans="2:7" x14ac:dyDescent="0.2">
      <c r="B1031" s="155"/>
      <c r="C1031" s="155"/>
      <c r="D1031" s="155"/>
      <c r="E1031" s="155"/>
      <c r="F1031" s="155"/>
      <c r="G1031" s="155"/>
    </row>
    <row r="1032" spans="2:7" x14ac:dyDescent="0.2">
      <c r="B1032" s="155"/>
      <c r="C1032" s="155"/>
      <c r="D1032" s="155"/>
      <c r="E1032" s="155"/>
      <c r="F1032" s="155"/>
      <c r="G1032" s="155"/>
    </row>
    <row r="1033" spans="2:7" x14ac:dyDescent="0.2">
      <c r="B1033" s="155"/>
      <c r="C1033" s="155"/>
      <c r="D1033" s="155"/>
      <c r="E1033" s="155"/>
      <c r="F1033" s="155"/>
      <c r="G1033" s="155"/>
    </row>
    <row r="1034" spans="2:7" x14ac:dyDescent="0.2">
      <c r="B1034" s="155"/>
      <c r="C1034" s="155"/>
      <c r="D1034" s="155"/>
      <c r="E1034" s="155"/>
      <c r="F1034" s="155"/>
      <c r="G1034" s="155"/>
    </row>
    <row r="1035" spans="2:7" x14ac:dyDescent="0.2">
      <c r="B1035" s="155"/>
      <c r="C1035" s="155"/>
      <c r="D1035" s="155"/>
      <c r="E1035" s="155"/>
      <c r="F1035" s="155"/>
      <c r="G1035" s="155"/>
    </row>
    <row r="1036" spans="2:7" x14ac:dyDescent="0.2">
      <c r="B1036" s="155"/>
      <c r="C1036" s="155"/>
      <c r="D1036" s="155"/>
      <c r="E1036" s="155"/>
      <c r="F1036" s="155"/>
      <c r="G1036" s="155"/>
    </row>
    <row r="1037" spans="2:7" x14ac:dyDescent="0.2">
      <c r="B1037" s="155"/>
      <c r="C1037" s="155"/>
      <c r="D1037" s="155"/>
      <c r="E1037" s="155"/>
      <c r="F1037" s="155"/>
      <c r="G1037" s="155"/>
    </row>
    <row r="1038" spans="2:7" x14ac:dyDescent="0.2">
      <c r="B1038" s="155"/>
      <c r="C1038" s="155"/>
      <c r="D1038" s="155"/>
      <c r="E1038" s="155"/>
      <c r="F1038" s="155"/>
      <c r="G1038" s="155"/>
    </row>
    <row r="1039" spans="2:7" x14ac:dyDescent="0.2">
      <c r="B1039" s="155"/>
      <c r="C1039" s="155"/>
      <c r="D1039" s="155"/>
      <c r="E1039" s="155"/>
      <c r="F1039" s="155"/>
      <c r="G1039" s="155"/>
    </row>
    <row r="1040" spans="2:7" x14ac:dyDescent="0.2">
      <c r="B1040" s="155"/>
      <c r="C1040" s="155"/>
      <c r="D1040" s="155"/>
      <c r="E1040" s="155"/>
      <c r="F1040" s="155"/>
      <c r="G1040" s="155"/>
    </row>
    <row r="1041" spans="2:7" x14ac:dyDescent="0.2">
      <c r="B1041" s="155"/>
      <c r="C1041" s="155"/>
      <c r="D1041" s="155"/>
      <c r="E1041" s="155"/>
      <c r="F1041" s="155"/>
      <c r="G1041" s="155"/>
    </row>
    <row r="1042" spans="2:7" x14ac:dyDescent="0.2">
      <c r="B1042" s="155"/>
      <c r="C1042" s="155"/>
      <c r="D1042" s="155"/>
      <c r="E1042" s="155"/>
      <c r="F1042" s="155"/>
      <c r="G1042" s="155"/>
    </row>
    <row r="1043" spans="2:7" x14ac:dyDescent="0.2">
      <c r="B1043" s="155"/>
      <c r="C1043" s="155"/>
      <c r="D1043" s="155"/>
      <c r="E1043" s="155"/>
      <c r="F1043" s="155"/>
      <c r="G1043" s="155"/>
    </row>
    <row r="1044" spans="2:7" x14ac:dyDescent="0.2">
      <c r="B1044" s="155"/>
      <c r="C1044" s="155"/>
      <c r="D1044" s="155"/>
      <c r="E1044" s="155"/>
      <c r="F1044" s="155"/>
      <c r="G1044" s="155"/>
    </row>
    <row r="1045" spans="2:7" x14ac:dyDescent="0.2">
      <c r="B1045" s="155"/>
      <c r="C1045" s="155"/>
      <c r="D1045" s="155"/>
      <c r="E1045" s="155"/>
      <c r="F1045" s="155"/>
      <c r="G1045" s="155"/>
    </row>
    <row r="1046" spans="2:7" x14ac:dyDescent="0.2">
      <c r="B1046" s="155"/>
      <c r="C1046" s="155"/>
      <c r="D1046" s="155"/>
      <c r="E1046" s="155"/>
      <c r="F1046" s="155"/>
      <c r="G1046" s="155"/>
    </row>
    <row r="1047" spans="2:7" x14ac:dyDescent="0.2">
      <c r="B1047" s="155"/>
      <c r="C1047" s="155"/>
      <c r="D1047" s="155"/>
      <c r="E1047" s="155"/>
      <c r="F1047" s="155"/>
      <c r="G1047" s="155"/>
    </row>
    <row r="1048" spans="2:7" x14ac:dyDescent="0.2">
      <c r="B1048" s="155"/>
      <c r="C1048" s="155"/>
      <c r="D1048" s="155"/>
      <c r="E1048" s="155"/>
      <c r="F1048" s="155"/>
      <c r="G1048" s="155"/>
    </row>
    <row r="1049" spans="2:7" x14ac:dyDescent="0.2">
      <c r="B1049" s="155"/>
      <c r="C1049" s="155"/>
      <c r="D1049" s="155"/>
      <c r="E1049" s="155"/>
      <c r="F1049" s="155"/>
      <c r="G1049" s="155"/>
    </row>
    <row r="1050" spans="2:7" x14ac:dyDescent="0.2">
      <c r="B1050" s="155"/>
      <c r="C1050" s="155"/>
      <c r="D1050" s="155"/>
      <c r="E1050" s="155"/>
      <c r="F1050" s="155"/>
      <c r="G1050" s="155"/>
    </row>
    <row r="1051" spans="2:7" x14ac:dyDescent="0.2">
      <c r="B1051" s="155"/>
      <c r="C1051" s="155"/>
      <c r="D1051" s="155"/>
      <c r="E1051" s="155"/>
      <c r="F1051" s="155"/>
      <c r="G1051" s="155"/>
    </row>
    <row r="1052" spans="2:7" x14ac:dyDescent="0.2">
      <c r="B1052" s="155"/>
      <c r="C1052" s="155"/>
      <c r="D1052" s="155"/>
      <c r="E1052" s="155"/>
      <c r="F1052" s="155"/>
      <c r="G1052" s="155"/>
    </row>
    <row r="1053" spans="2:7" x14ac:dyDescent="0.2">
      <c r="B1053" s="155"/>
      <c r="C1053" s="155"/>
      <c r="D1053" s="155"/>
      <c r="E1053" s="155"/>
      <c r="F1053" s="155"/>
      <c r="G1053" s="155"/>
    </row>
    <row r="1054" spans="2:7" x14ac:dyDescent="0.2">
      <c r="B1054" s="155"/>
      <c r="C1054" s="155"/>
      <c r="D1054" s="155"/>
      <c r="E1054" s="155"/>
      <c r="F1054" s="155"/>
      <c r="G1054" s="155"/>
    </row>
    <row r="1055" spans="2:7" x14ac:dyDescent="0.2">
      <c r="B1055" s="155"/>
      <c r="C1055" s="155"/>
      <c r="D1055" s="155"/>
      <c r="E1055" s="155"/>
      <c r="F1055" s="155"/>
      <c r="G1055" s="155"/>
    </row>
    <row r="1056" spans="2:7" x14ac:dyDescent="0.2">
      <c r="B1056" s="155"/>
      <c r="C1056" s="155"/>
      <c r="D1056" s="155"/>
      <c r="E1056" s="155"/>
      <c r="F1056" s="155"/>
      <c r="G1056" s="155"/>
    </row>
    <row r="1057" spans="2:7" x14ac:dyDescent="0.2">
      <c r="B1057" s="155"/>
      <c r="C1057" s="155"/>
      <c r="D1057" s="155"/>
      <c r="E1057" s="155"/>
      <c r="F1057" s="155"/>
      <c r="G1057" s="155"/>
    </row>
    <row r="1058" spans="2:7" x14ac:dyDescent="0.2">
      <c r="B1058" s="155"/>
      <c r="C1058" s="155"/>
      <c r="D1058" s="155"/>
      <c r="E1058" s="155"/>
      <c r="F1058" s="155"/>
      <c r="G1058" s="155"/>
    </row>
    <row r="1059" spans="2:7" x14ac:dyDescent="0.2">
      <c r="B1059" s="155"/>
      <c r="C1059" s="155"/>
      <c r="D1059" s="155"/>
      <c r="E1059" s="155"/>
      <c r="F1059" s="155"/>
      <c r="G1059" s="155"/>
    </row>
    <row r="1060" spans="2:7" x14ac:dyDescent="0.2">
      <c r="B1060" s="155"/>
      <c r="C1060" s="155"/>
      <c r="D1060" s="155"/>
      <c r="E1060" s="155"/>
      <c r="F1060" s="155"/>
      <c r="G1060" s="155"/>
    </row>
    <row r="1061" spans="2:7" x14ac:dyDescent="0.2">
      <c r="B1061" s="155"/>
      <c r="C1061" s="155"/>
      <c r="D1061" s="155"/>
      <c r="E1061" s="155"/>
      <c r="F1061" s="155"/>
      <c r="G1061" s="155"/>
    </row>
    <row r="1062" spans="2:7" x14ac:dyDescent="0.2">
      <c r="B1062" s="155"/>
      <c r="C1062" s="155"/>
      <c r="D1062" s="155"/>
      <c r="E1062" s="155"/>
      <c r="F1062" s="155"/>
      <c r="G1062" s="155"/>
    </row>
    <row r="1063" spans="2:7" x14ac:dyDescent="0.2">
      <c r="B1063" s="155"/>
      <c r="C1063" s="155"/>
      <c r="D1063" s="155"/>
      <c r="E1063" s="155"/>
      <c r="F1063" s="155"/>
      <c r="G1063" s="155"/>
    </row>
    <row r="1064" spans="2:7" x14ac:dyDescent="0.2">
      <c r="B1064" s="155"/>
      <c r="C1064" s="155"/>
      <c r="D1064" s="155"/>
      <c r="E1064" s="155"/>
      <c r="F1064" s="155"/>
      <c r="G1064" s="155"/>
    </row>
    <row r="1065" spans="2:7" x14ac:dyDescent="0.2">
      <c r="B1065" s="155"/>
      <c r="C1065" s="155"/>
      <c r="D1065" s="155"/>
      <c r="E1065" s="155"/>
      <c r="F1065" s="155"/>
      <c r="G1065" s="155"/>
    </row>
    <row r="1066" spans="2:7" x14ac:dyDescent="0.2">
      <c r="B1066" s="155"/>
      <c r="C1066" s="155"/>
      <c r="D1066" s="155"/>
      <c r="E1066" s="155"/>
      <c r="F1066" s="155"/>
      <c r="G1066" s="155"/>
    </row>
    <row r="1067" spans="2:7" x14ac:dyDescent="0.2">
      <c r="B1067" s="155"/>
      <c r="C1067" s="155"/>
      <c r="D1067" s="155"/>
      <c r="E1067" s="155"/>
      <c r="F1067" s="155"/>
      <c r="G1067" s="155"/>
    </row>
    <row r="1068" spans="2:7" x14ac:dyDescent="0.2">
      <c r="B1068" s="155"/>
      <c r="C1068" s="155"/>
      <c r="D1068" s="155"/>
      <c r="E1068" s="155"/>
      <c r="F1068" s="155"/>
      <c r="G1068" s="155"/>
    </row>
    <row r="1069" spans="2:7" x14ac:dyDescent="0.2">
      <c r="B1069" s="155"/>
      <c r="C1069" s="155"/>
      <c r="D1069" s="155"/>
      <c r="E1069" s="155"/>
      <c r="F1069" s="155"/>
      <c r="G1069" s="155"/>
    </row>
    <row r="1070" spans="2:7" x14ac:dyDescent="0.2">
      <c r="B1070" s="155"/>
      <c r="C1070" s="155"/>
      <c r="D1070" s="155"/>
      <c r="E1070" s="155"/>
      <c r="F1070" s="155"/>
      <c r="G1070" s="155"/>
    </row>
    <row r="1071" spans="2:7" x14ac:dyDescent="0.2">
      <c r="B1071" s="155"/>
      <c r="C1071" s="155"/>
      <c r="D1071" s="155"/>
      <c r="E1071" s="155"/>
      <c r="F1071" s="155"/>
      <c r="G1071" s="155"/>
    </row>
    <row r="1072" spans="2:7" x14ac:dyDescent="0.2">
      <c r="B1072" s="155"/>
      <c r="C1072" s="155"/>
      <c r="D1072" s="155"/>
      <c r="E1072" s="155"/>
      <c r="F1072" s="155"/>
      <c r="G1072" s="155"/>
    </row>
    <row r="1073" spans="2:7" x14ac:dyDescent="0.2">
      <c r="B1073" s="155"/>
      <c r="C1073" s="155"/>
      <c r="D1073" s="155"/>
      <c r="E1073" s="155"/>
      <c r="F1073" s="155"/>
      <c r="G1073" s="155"/>
    </row>
    <row r="1074" spans="2:7" x14ac:dyDescent="0.2">
      <c r="B1074" s="155"/>
      <c r="C1074" s="155"/>
      <c r="D1074" s="155"/>
      <c r="E1074" s="155"/>
      <c r="F1074" s="155"/>
      <c r="G1074" s="155"/>
    </row>
    <row r="1075" spans="2:7" x14ac:dyDescent="0.2">
      <c r="B1075" s="155"/>
      <c r="C1075" s="155"/>
      <c r="D1075" s="155"/>
      <c r="E1075" s="155"/>
      <c r="F1075" s="155"/>
      <c r="G1075" s="155"/>
    </row>
    <row r="1076" spans="2:7" x14ac:dyDescent="0.2">
      <c r="B1076" s="155"/>
      <c r="C1076" s="155"/>
      <c r="D1076" s="155"/>
      <c r="E1076" s="155"/>
      <c r="F1076" s="155"/>
      <c r="G1076" s="155"/>
    </row>
    <row r="1077" spans="2:7" x14ac:dyDescent="0.2">
      <c r="B1077" s="155"/>
      <c r="C1077" s="155"/>
      <c r="D1077" s="155"/>
      <c r="E1077" s="155"/>
      <c r="F1077" s="155"/>
      <c r="G1077" s="155"/>
    </row>
    <row r="1078" spans="2:7" x14ac:dyDescent="0.2">
      <c r="B1078" s="155"/>
      <c r="C1078" s="155"/>
      <c r="D1078" s="155"/>
      <c r="E1078" s="155"/>
      <c r="F1078" s="155"/>
      <c r="G1078" s="155"/>
    </row>
    <row r="1079" spans="2:7" x14ac:dyDescent="0.2">
      <c r="B1079" s="155"/>
      <c r="C1079" s="155"/>
      <c r="D1079" s="155"/>
      <c r="E1079" s="155"/>
      <c r="F1079" s="155"/>
      <c r="G1079" s="155"/>
    </row>
    <row r="1080" spans="2:7" x14ac:dyDescent="0.2">
      <c r="B1080" s="155"/>
      <c r="C1080" s="155"/>
      <c r="D1080" s="155"/>
      <c r="E1080" s="155"/>
      <c r="F1080" s="155"/>
      <c r="G1080" s="155"/>
    </row>
    <row r="1081" spans="2:7" x14ac:dyDescent="0.2">
      <c r="B1081" s="155"/>
      <c r="C1081" s="155"/>
      <c r="D1081" s="155"/>
      <c r="E1081" s="155"/>
      <c r="F1081" s="155"/>
      <c r="G1081" s="155"/>
    </row>
    <row r="1082" spans="2:7" x14ac:dyDescent="0.2">
      <c r="B1082" s="155"/>
      <c r="C1082" s="155"/>
      <c r="D1082" s="155"/>
      <c r="E1082" s="155"/>
      <c r="F1082" s="155"/>
      <c r="G1082" s="155"/>
    </row>
    <row r="1083" spans="2:7" x14ac:dyDescent="0.2">
      <c r="B1083" s="155"/>
      <c r="C1083" s="155"/>
      <c r="D1083" s="155"/>
      <c r="E1083" s="155"/>
      <c r="F1083" s="155"/>
      <c r="G1083" s="155"/>
    </row>
    <row r="1084" spans="2:7" x14ac:dyDescent="0.2">
      <c r="B1084" s="155"/>
      <c r="C1084" s="155"/>
      <c r="D1084" s="155"/>
      <c r="E1084" s="155"/>
      <c r="F1084" s="155"/>
      <c r="G1084" s="155"/>
    </row>
    <row r="1085" spans="2:7" x14ac:dyDescent="0.2">
      <c r="B1085" s="155"/>
      <c r="C1085" s="155"/>
      <c r="D1085" s="155"/>
      <c r="E1085" s="155"/>
      <c r="F1085" s="155"/>
      <c r="G1085" s="155"/>
    </row>
    <row r="1086" spans="2:7" x14ac:dyDescent="0.2">
      <c r="B1086" s="155"/>
      <c r="C1086" s="155"/>
      <c r="D1086" s="155"/>
      <c r="E1086" s="155"/>
      <c r="F1086" s="155"/>
      <c r="G1086" s="155"/>
    </row>
    <row r="1087" spans="2:7" x14ac:dyDescent="0.2">
      <c r="B1087" s="155"/>
      <c r="C1087" s="155"/>
      <c r="D1087" s="155"/>
      <c r="E1087" s="155"/>
      <c r="F1087" s="155"/>
      <c r="G1087" s="155"/>
    </row>
    <row r="1088" spans="2:7" x14ac:dyDescent="0.2">
      <c r="B1088" s="155"/>
      <c r="C1088" s="155"/>
      <c r="D1088" s="155"/>
      <c r="E1088" s="155"/>
      <c r="F1088" s="155"/>
      <c r="G1088" s="155"/>
    </row>
    <row r="1089" spans="2:7" x14ac:dyDescent="0.2">
      <c r="B1089" s="155"/>
      <c r="C1089" s="155"/>
      <c r="D1089" s="155"/>
      <c r="E1089" s="155"/>
      <c r="F1089" s="155"/>
      <c r="G1089" s="155"/>
    </row>
    <row r="1090" spans="2:7" x14ac:dyDescent="0.2">
      <c r="B1090" s="155"/>
      <c r="C1090" s="155"/>
      <c r="D1090" s="155"/>
      <c r="E1090" s="155"/>
      <c r="F1090" s="155"/>
      <c r="G1090" s="155"/>
    </row>
    <row r="1091" spans="2:7" x14ac:dyDescent="0.2">
      <c r="B1091" s="155"/>
      <c r="C1091" s="155"/>
      <c r="D1091" s="155"/>
      <c r="E1091" s="155"/>
      <c r="F1091" s="155"/>
      <c r="G1091" s="155"/>
    </row>
    <row r="1092" spans="2:7" x14ac:dyDescent="0.2">
      <c r="B1092" s="155"/>
      <c r="C1092" s="155"/>
      <c r="D1092" s="155"/>
      <c r="E1092" s="155"/>
      <c r="F1092" s="155"/>
      <c r="G1092" s="155"/>
    </row>
    <row r="1093" spans="2:7" x14ac:dyDescent="0.2">
      <c r="B1093" s="155"/>
      <c r="C1093" s="155"/>
      <c r="D1093" s="155"/>
      <c r="E1093" s="155"/>
      <c r="F1093" s="155"/>
      <c r="G1093" s="155"/>
    </row>
    <row r="1094" spans="2:7" x14ac:dyDescent="0.2">
      <c r="B1094" s="155"/>
      <c r="C1094" s="155"/>
      <c r="D1094" s="155"/>
      <c r="E1094" s="155"/>
      <c r="F1094" s="155"/>
      <c r="G1094" s="155"/>
    </row>
    <row r="1095" spans="2:7" x14ac:dyDescent="0.2">
      <c r="B1095" s="155"/>
      <c r="C1095" s="155"/>
      <c r="D1095" s="155"/>
      <c r="E1095" s="155"/>
      <c r="F1095" s="155"/>
      <c r="G1095" s="155"/>
    </row>
    <row r="1096" spans="2:7" x14ac:dyDescent="0.2">
      <c r="B1096" s="155"/>
      <c r="C1096" s="155"/>
      <c r="D1096" s="155"/>
      <c r="E1096" s="155"/>
      <c r="F1096" s="155"/>
      <c r="G1096" s="155"/>
    </row>
    <row r="1097" spans="2:7" x14ac:dyDescent="0.2">
      <c r="B1097" s="155"/>
      <c r="C1097" s="155"/>
      <c r="D1097" s="155"/>
      <c r="E1097" s="155"/>
      <c r="F1097" s="155"/>
      <c r="G1097" s="155"/>
    </row>
    <row r="1098" spans="2:7" x14ac:dyDescent="0.2">
      <c r="B1098" s="155"/>
      <c r="C1098" s="155"/>
      <c r="D1098" s="155"/>
      <c r="E1098" s="155"/>
      <c r="F1098" s="155"/>
      <c r="G1098" s="155"/>
    </row>
    <row r="1099" spans="2:7" x14ac:dyDescent="0.2">
      <c r="B1099" s="155"/>
      <c r="C1099" s="155"/>
      <c r="D1099" s="155"/>
      <c r="E1099" s="155"/>
      <c r="F1099" s="155"/>
      <c r="G1099" s="155"/>
    </row>
    <row r="1100" spans="2:7" x14ac:dyDescent="0.2">
      <c r="B1100" s="155"/>
      <c r="C1100" s="155"/>
      <c r="D1100" s="155"/>
      <c r="E1100" s="155"/>
      <c r="F1100" s="155"/>
      <c r="G1100" s="155"/>
    </row>
    <row r="1101" spans="2:7" x14ac:dyDescent="0.2">
      <c r="B1101" s="155"/>
      <c r="C1101" s="155"/>
      <c r="D1101" s="155"/>
      <c r="E1101" s="155"/>
      <c r="F1101" s="155"/>
      <c r="G1101" s="155"/>
    </row>
    <row r="1102" spans="2:7" x14ac:dyDescent="0.2">
      <c r="B1102" s="155"/>
      <c r="C1102" s="155"/>
      <c r="D1102" s="155"/>
      <c r="E1102" s="155"/>
      <c r="F1102" s="155"/>
      <c r="G1102" s="155"/>
    </row>
    <row r="1103" spans="2:7" x14ac:dyDescent="0.2">
      <c r="B1103" s="155"/>
      <c r="C1103" s="155"/>
      <c r="D1103" s="155"/>
      <c r="E1103" s="155"/>
      <c r="F1103" s="155"/>
      <c r="G1103" s="155"/>
    </row>
    <row r="1104" spans="2:7" x14ac:dyDescent="0.2">
      <c r="B1104" s="155"/>
      <c r="C1104" s="155"/>
      <c r="D1104" s="155"/>
      <c r="E1104" s="155"/>
      <c r="F1104" s="155"/>
      <c r="G1104" s="155"/>
    </row>
    <row r="1105" spans="2:7" x14ac:dyDescent="0.2">
      <c r="B1105" s="155"/>
      <c r="C1105" s="155"/>
      <c r="D1105" s="155"/>
      <c r="E1105" s="155"/>
      <c r="F1105" s="155"/>
      <c r="G1105" s="155"/>
    </row>
    <row r="1106" spans="2:7" x14ac:dyDescent="0.2">
      <c r="B1106" s="155"/>
      <c r="C1106" s="155"/>
      <c r="D1106" s="155"/>
      <c r="E1106" s="155"/>
      <c r="F1106" s="155"/>
      <c r="G1106" s="155"/>
    </row>
    <row r="1107" spans="2:7" x14ac:dyDescent="0.2">
      <c r="B1107" s="155"/>
      <c r="C1107" s="155"/>
      <c r="D1107" s="155"/>
      <c r="E1107" s="155"/>
      <c r="F1107" s="155"/>
      <c r="G1107" s="155"/>
    </row>
    <row r="1108" spans="2:7" x14ac:dyDescent="0.2">
      <c r="B1108" s="155"/>
      <c r="C1108" s="155"/>
      <c r="D1108" s="155"/>
      <c r="E1108" s="155"/>
      <c r="F1108" s="155"/>
      <c r="G1108" s="155"/>
    </row>
    <row r="1109" spans="2:7" x14ac:dyDescent="0.2">
      <c r="B1109" s="155"/>
      <c r="C1109" s="155"/>
      <c r="D1109" s="155"/>
      <c r="E1109" s="155"/>
      <c r="F1109" s="155"/>
      <c r="G1109" s="155"/>
    </row>
    <row r="1110" spans="2:7" x14ac:dyDescent="0.2">
      <c r="B1110" s="155"/>
      <c r="C1110" s="155"/>
      <c r="D1110" s="155"/>
      <c r="E1110" s="155"/>
      <c r="F1110" s="155"/>
      <c r="G1110" s="155"/>
    </row>
    <row r="1111" spans="2:7" x14ac:dyDescent="0.2">
      <c r="B1111" s="155"/>
      <c r="C1111" s="155"/>
      <c r="D1111" s="155"/>
      <c r="E1111" s="155"/>
      <c r="F1111" s="155"/>
      <c r="G1111" s="155"/>
    </row>
    <row r="1112" spans="2:7" x14ac:dyDescent="0.2">
      <c r="B1112" s="155"/>
      <c r="C1112" s="155"/>
      <c r="D1112" s="155"/>
      <c r="E1112" s="155"/>
      <c r="F1112" s="155"/>
      <c r="G1112" s="155"/>
    </row>
    <row r="1113" spans="2:7" x14ac:dyDescent="0.2">
      <c r="B1113" s="155"/>
      <c r="C1113" s="155"/>
      <c r="D1113" s="155"/>
      <c r="E1113" s="155"/>
      <c r="F1113" s="155"/>
      <c r="G1113" s="155"/>
    </row>
    <row r="1114" spans="2:7" x14ac:dyDescent="0.2">
      <c r="B1114" s="155"/>
      <c r="C1114" s="155"/>
      <c r="D1114" s="155"/>
      <c r="E1114" s="155"/>
      <c r="F1114" s="155"/>
      <c r="G1114" s="155"/>
    </row>
    <row r="1115" spans="2:7" x14ac:dyDescent="0.2">
      <c r="B1115" s="155"/>
      <c r="C1115" s="155"/>
      <c r="D1115" s="155"/>
      <c r="E1115" s="155"/>
      <c r="F1115" s="155"/>
      <c r="G1115" s="155"/>
    </row>
    <row r="1116" spans="2:7" x14ac:dyDescent="0.2">
      <c r="B1116" s="155"/>
      <c r="C1116" s="155"/>
      <c r="D1116" s="155"/>
      <c r="E1116" s="155"/>
      <c r="F1116" s="155"/>
      <c r="G1116" s="155"/>
    </row>
    <row r="1117" spans="2:7" x14ac:dyDescent="0.2">
      <c r="B1117" s="155"/>
      <c r="C1117" s="155"/>
      <c r="D1117" s="155"/>
      <c r="E1117" s="155"/>
      <c r="F1117" s="155"/>
      <c r="G1117" s="155"/>
    </row>
    <row r="1118" spans="2:7" x14ac:dyDescent="0.2">
      <c r="B1118" s="155"/>
      <c r="C1118" s="155"/>
      <c r="D1118" s="155"/>
      <c r="E1118" s="155"/>
      <c r="F1118" s="155"/>
      <c r="G1118" s="155"/>
    </row>
    <row r="1119" spans="2:7" x14ac:dyDescent="0.2">
      <c r="B1119" s="155"/>
      <c r="C1119" s="155"/>
      <c r="D1119" s="155"/>
      <c r="E1119" s="155"/>
      <c r="F1119" s="155"/>
      <c r="G1119" s="155"/>
    </row>
    <row r="1120" spans="2:7" x14ac:dyDescent="0.2">
      <c r="B1120" s="155"/>
      <c r="C1120" s="155"/>
      <c r="D1120" s="155"/>
      <c r="E1120" s="155"/>
      <c r="F1120" s="155"/>
      <c r="G1120" s="155"/>
    </row>
    <row r="1121" spans="2:7" x14ac:dyDescent="0.2">
      <c r="B1121" s="155"/>
      <c r="C1121" s="155"/>
      <c r="D1121" s="155"/>
      <c r="E1121" s="155"/>
      <c r="F1121" s="155"/>
      <c r="G1121" s="155"/>
    </row>
    <row r="1122" spans="2:7" x14ac:dyDescent="0.2">
      <c r="B1122" s="155"/>
      <c r="C1122" s="155"/>
      <c r="D1122" s="155"/>
      <c r="E1122" s="155"/>
      <c r="F1122" s="155"/>
      <c r="G1122" s="155"/>
    </row>
    <row r="1123" spans="2:7" x14ac:dyDescent="0.2">
      <c r="B1123" s="155"/>
      <c r="C1123" s="155"/>
      <c r="D1123" s="155"/>
      <c r="E1123" s="155"/>
      <c r="F1123" s="155"/>
      <c r="G1123" s="155"/>
    </row>
    <row r="1124" spans="2:7" x14ac:dyDescent="0.2">
      <c r="B1124" s="155"/>
      <c r="C1124" s="155"/>
      <c r="D1124" s="155"/>
      <c r="E1124" s="155"/>
      <c r="F1124" s="155"/>
      <c r="G1124" s="155"/>
    </row>
    <row r="1125" spans="2:7" x14ac:dyDescent="0.2">
      <c r="B1125" s="155"/>
      <c r="C1125" s="155"/>
      <c r="D1125" s="155"/>
      <c r="E1125" s="155"/>
      <c r="F1125" s="155"/>
      <c r="G1125" s="155"/>
    </row>
    <row r="1126" spans="2:7" x14ac:dyDescent="0.2">
      <c r="B1126" s="155"/>
      <c r="C1126" s="155"/>
      <c r="D1126" s="155"/>
      <c r="E1126" s="155"/>
      <c r="F1126" s="155"/>
      <c r="G1126" s="155"/>
    </row>
    <row r="1127" spans="2:7" x14ac:dyDescent="0.2">
      <c r="B1127" s="155"/>
      <c r="C1127" s="155"/>
      <c r="D1127" s="155"/>
      <c r="E1127" s="155"/>
      <c r="F1127" s="155"/>
      <c r="G1127" s="155"/>
    </row>
    <row r="1128" spans="2:7" x14ac:dyDescent="0.2">
      <c r="B1128" s="155"/>
      <c r="C1128" s="155"/>
      <c r="D1128" s="155"/>
      <c r="E1128" s="155"/>
      <c r="F1128" s="155"/>
      <c r="G1128" s="155"/>
    </row>
    <row r="1129" spans="2:7" x14ac:dyDescent="0.2">
      <c r="B1129" s="155"/>
      <c r="C1129" s="155"/>
      <c r="D1129" s="155"/>
      <c r="E1129" s="155"/>
      <c r="F1129" s="155"/>
      <c r="G1129" s="155"/>
    </row>
    <row r="1130" spans="2:7" x14ac:dyDescent="0.2">
      <c r="B1130" s="155"/>
      <c r="C1130" s="155"/>
      <c r="D1130" s="155"/>
      <c r="E1130" s="155"/>
      <c r="F1130" s="155"/>
      <c r="G1130" s="155"/>
    </row>
    <row r="1131" spans="2:7" x14ac:dyDescent="0.2">
      <c r="B1131" s="155"/>
      <c r="C1131" s="155"/>
      <c r="D1131" s="155"/>
      <c r="E1131" s="155"/>
      <c r="F1131" s="155"/>
      <c r="G1131" s="155"/>
    </row>
    <row r="1132" spans="2:7" x14ac:dyDescent="0.2">
      <c r="B1132" s="155"/>
      <c r="C1132" s="155"/>
      <c r="D1132" s="155"/>
      <c r="E1132" s="155"/>
      <c r="F1132" s="155"/>
      <c r="G1132" s="155"/>
    </row>
    <row r="1133" spans="2:7" x14ac:dyDescent="0.2">
      <c r="B1133" s="155"/>
      <c r="C1133" s="155"/>
      <c r="D1133" s="155"/>
      <c r="E1133" s="155"/>
      <c r="F1133" s="155"/>
      <c r="G1133" s="155"/>
    </row>
    <row r="1134" spans="2:7" x14ac:dyDescent="0.2">
      <c r="B1134" s="155"/>
      <c r="C1134" s="155"/>
      <c r="D1134" s="155"/>
      <c r="E1134" s="155"/>
      <c r="F1134" s="155"/>
      <c r="G1134" s="155"/>
    </row>
    <row r="1135" spans="2:7" x14ac:dyDescent="0.2">
      <c r="B1135" s="155"/>
      <c r="C1135" s="155"/>
      <c r="D1135" s="155"/>
      <c r="E1135" s="155"/>
      <c r="F1135" s="155"/>
      <c r="G1135" s="155"/>
    </row>
    <row r="1136" spans="2:7" x14ac:dyDescent="0.2">
      <c r="B1136" s="155"/>
      <c r="C1136" s="155"/>
      <c r="D1136" s="155"/>
      <c r="E1136" s="155"/>
      <c r="F1136" s="155"/>
      <c r="G1136" s="155"/>
    </row>
    <row r="1137" spans="2:7" x14ac:dyDescent="0.2">
      <c r="B1137" s="155"/>
      <c r="C1137" s="155"/>
      <c r="D1137" s="155"/>
      <c r="E1137" s="155"/>
      <c r="F1137" s="155"/>
      <c r="G1137" s="155"/>
    </row>
    <row r="1138" spans="2:7" x14ac:dyDescent="0.2">
      <c r="B1138" s="155"/>
      <c r="C1138" s="155"/>
      <c r="D1138" s="155"/>
      <c r="E1138" s="155"/>
      <c r="F1138" s="155"/>
      <c r="G1138" s="155"/>
    </row>
    <row r="1139" spans="2:7" x14ac:dyDescent="0.2">
      <c r="B1139" s="155"/>
      <c r="C1139" s="155"/>
      <c r="D1139" s="155"/>
      <c r="E1139" s="155"/>
      <c r="F1139" s="155"/>
      <c r="G1139" s="155"/>
    </row>
    <row r="1140" spans="2:7" x14ac:dyDescent="0.2">
      <c r="B1140" s="155"/>
      <c r="C1140" s="155"/>
      <c r="D1140" s="155"/>
      <c r="E1140" s="155"/>
      <c r="F1140" s="155"/>
      <c r="G1140" s="155"/>
    </row>
    <row r="1141" spans="2:7" x14ac:dyDescent="0.2">
      <c r="B1141" s="155"/>
      <c r="C1141" s="155"/>
      <c r="D1141" s="155"/>
      <c r="E1141" s="155"/>
      <c r="F1141" s="155"/>
      <c r="G1141" s="155"/>
    </row>
    <row r="1142" spans="2:7" x14ac:dyDescent="0.2">
      <c r="B1142" s="155"/>
      <c r="C1142" s="155"/>
      <c r="D1142" s="155"/>
      <c r="E1142" s="155"/>
      <c r="F1142" s="155"/>
      <c r="G1142" s="155"/>
    </row>
    <row r="1143" spans="2:7" x14ac:dyDescent="0.2">
      <c r="B1143" s="155"/>
      <c r="C1143" s="155"/>
      <c r="D1143" s="155"/>
      <c r="E1143" s="155"/>
      <c r="F1143" s="155"/>
      <c r="G1143" s="155"/>
    </row>
    <row r="1144" spans="2:7" x14ac:dyDescent="0.2">
      <c r="B1144" s="155"/>
      <c r="C1144" s="155"/>
      <c r="D1144" s="155"/>
      <c r="E1144" s="155"/>
      <c r="F1144" s="155"/>
      <c r="G1144" s="155"/>
    </row>
    <row r="1145" spans="2:7" x14ac:dyDescent="0.2">
      <c r="B1145" s="155"/>
      <c r="C1145" s="155"/>
      <c r="D1145" s="155"/>
      <c r="E1145" s="155"/>
      <c r="F1145" s="155"/>
      <c r="G1145" s="155"/>
    </row>
    <row r="1146" spans="2:7" x14ac:dyDescent="0.2">
      <c r="B1146" s="155"/>
      <c r="C1146" s="155"/>
      <c r="D1146" s="155"/>
      <c r="E1146" s="155"/>
      <c r="F1146" s="155"/>
      <c r="G1146" s="155"/>
    </row>
    <row r="1147" spans="2:7" x14ac:dyDescent="0.2">
      <c r="B1147" s="155"/>
      <c r="C1147" s="155"/>
      <c r="D1147" s="155"/>
      <c r="E1147" s="155"/>
      <c r="F1147" s="155"/>
      <c r="G1147" s="155"/>
    </row>
    <row r="1148" spans="2:7" x14ac:dyDescent="0.2">
      <c r="B1148" s="155"/>
      <c r="C1148" s="155"/>
      <c r="D1148" s="155"/>
      <c r="E1148" s="155"/>
      <c r="F1148" s="155"/>
      <c r="G1148" s="155"/>
    </row>
    <row r="1149" spans="2:7" x14ac:dyDescent="0.2">
      <c r="B1149" s="155"/>
      <c r="C1149" s="155"/>
      <c r="D1149" s="155"/>
      <c r="E1149" s="155"/>
      <c r="F1149" s="155"/>
      <c r="G1149" s="155"/>
    </row>
    <row r="1150" spans="2:7" x14ac:dyDescent="0.2">
      <c r="B1150" s="155"/>
      <c r="C1150" s="155"/>
      <c r="D1150" s="155"/>
      <c r="E1150" s="155"/>
      <c r="F1150" s="155"/>
      <c r="G1150" s="155"/>
    </row>
    <row r="1151" spans="2:7" x14ac:dyDescent="0.2">
      <c r="B1151" s="155"/>
      <c r="C1151" s="155"/>
      <c r="D1151" s="155"/>
      <c r="E1151" s="155"/>
      <c r="F1151" s="155"/>
      <c r="G1151" s="155"/>
    </row>
    <row r="1152" spans="2:7" x14ac:dyDescent="0.2">
      <c r="B1152" s="155"/>
      <c r="C1152" s="155"/>
      <c r="D1152" s="155"/>
      <c r="E1152" s="155"/>
      <c r="F1152" s="155"/>
      <c r="G1152" s="155"/>
    </row>
    <row r="1153" spans="2:7" x14ac:dyDescent="0.2">
      <c r="B1153" s="155"/>
      <c r="C1153" s="155"/>
      <c r="D1153" s="155"/>
      <c r="E1153" s="155"/>
      <c r="F1153" s="155"/>
      <c r="G1153" s="155"/>
    </row>
    <row r="1154" spans="2:7" x14ac:dyDescent="0.2">
      <c r="B1154" s="155"/>
      <c r="C1154" s="155"/>
      <c r="D1154" s="155"/>
      <c r="E1154" s="155"/>
      <c r="F1154" s="155"/>
      <c r="G1154" s="155"/>
    </row>
    <row r="1155" spans="2:7" x14ac:dyDescent="0.2">
      <c r="B1155" s="155"/>
      <c r="C1155" s="155"/>
      <c r="D1155" s="155"/>
      <c r="E1155" s="155"/>
      <c r="F1155" s="155"/>
      <c r="G1155" s="155"/>
    </row>
    <row r="1156" spans="2:7" x14ac:dyDescent="0.2">
      <c r="B1156" s="155"/>
      <c r="C1156" s="155"/>
      <c r="D1156" s="155"/>
      <c r="E1156" s="155"/>
      <c r="F1156" s="155"/>
      <c r="G1156" s="155"/>
    </row>
    <row r="1157" spans="2:7" x14ac:dyDescent="0.2">
      <c r="B1157" s="155"/>
      <c r="C1157" s="155"/>
      <c r="D1157" s="155"/>
      <c r="E1157" s="155"/>
      <c r="F1157" s="155"/>
      <c r="G1157" s="155"/>
    </row>
    <row r="1158" spans="2:7" x14ac:dyDescent="0.2">
      <c r="B1158" s="155"/>
      <c r="C1158" s="155"/>
      <c r="D1158" s="155"/>
      <c r="E1158" s="155"/>
      <c r="F1158" s="155"/>
      <c r="G1158" s="155"/>
    </row>
    <row r="1159" spans="2:7" x14ac:dyDescent="0.2">
      <c r="B1159" s="155"/>
      <c r="C1159" s="155"/>
      <c r="D1159" s="155"/>
      <c r="E1159" s="155"/>
      <c r="F1159" s="155"/>
      <c r="G1159" s="155"/>
    </row>
    <row r="1160" spans="2:7" x14ac:dyDescent="0.2">
      <c r="B1160" s="155"/>
      <c r="C1160" s="155"/>
      <c r="D1160" s="155"/>
      <c r="E1160" s="155"/>
      <c r="F1160" s="155"/>
      <c r="G1160" s="155"/>
    </row>
    <row r="1161" spans="2:7" x14ac:dyDescent="0.2">
      <c r="B1161" s="155"/>
      <c r="C1161" s="155"/>
      <c r="D1161" s="155"/>
      <c r="E1161" s="155"/>
      <c r="F1161" s="155"/>
      <c r="G1161" s="155"/>
    </row>
    <row r="1162" spans="2:7" x14ac:dyDescent="0.2">
      <c r="B1162" s="155"/>
      <c r="C1162" s="155"/>
      <c r="D1162" s="155"/>
      <c r="E1162" s="155"/>
      <c r="F1162" s="155"/>
      <c r="G1162" s="155"/>
    </row>
    <row r="1163" spans="2:7" x14ac:dyDescent="0.2">
      <c r="B1163" s="155"/>
      <c r="C1163" s="155"/>
      <c r="D1163" s="155"/>
      <c r="E1163" s="155"/>
      <c r="F1163" s="155"/>
      <c r="G1163" s="155"/>
    </row>
    <row r="1164" spans="2:7" x14ac:dyDescent="0.2">
      <c r="B1164" s="155"/>
      <c r="C1164" s="155"/>
      <c r="D1164" s="155"/>
      <c r="E1164" s="155"/>
      <c r="F1164" s="155"/>
      <c r="G1164" s="155"/>
    </row>
    <row r="1165" spans="2:7" x14ac:dyDescent="0.2">
      <c r="B1165" s="155"/>
      <c r="C1165" s="155"/>
      <c r="D1165" s="155"/>
      <c r="E1165" s="155"/>
      <c r="F1165" s="155"/>
      <c r="G1165" s="155"/>
    </row>
    <row r="1166" spans="2:7" x14ac:dyDescent="0.2">
      <c r="B1166" s="155"/>
      <c r="C1166" s="155"/>
      <c r="D1166" s="155"/>
      <c r="E1166" s="155"/>
      <c r="F1166" s="155"/>
      <c r="G1166" s="155"/>
    </row>
    <row r="1167" spans="2:7" x14ac:dyDescent="0.2">
      <c r="B1167" s="155"/>
      <c r="C1167" s="155"/>
      <c r="D1167" s="155"/>
      <c r="E1167" s="155"/>
      <c r="F1167" s="155"/>
      <c r="G1167" s="155"/>
    </row>
    <row r="1168" spans="2:7" x14ac:dyDescent="0.2">
      <c r="B1168" s="155"/>
      <c r="C1168" s="155"/>
      <c r="D1168" s="155"/>
      <c r="E1168" s="155"/>
      <c r="F1168" s="155"/>
      <c r="G1168" s="155"/>
    </row>
    <row r="1169" spans="2:7" x14ac:dyDescent="0.2">
      <c r="B1169" s="155"/>
      <c r="C1169" s="155"/>
      <c r="D1169" s="155"/>
      <c r="E1169" s="155"/>
      <c r="F1169" s="155"/>
      <c r="G1169" s="155"/>
    </row>
    <row r="1170" spans="2:7" x14ac:dyDescent="0.2">
      <c r="B1170" s="155"/>
      <c r="C1170" s="155"/>
      <c r="D1170" s="155"/>
      <c r="E1170" s="155"/>
      <c r="F1170" s="155"/>
      <c r="G1170" s="155"/>
    </row>
    <row r="1171" spans="2:7" x14ac:dyDescent="0.2">
      <c r="B1171" s="155"/>
      <c r="C1171" s="155"/>
      <c r="D1171" s="155"/>
      <c r="E1171" s="155"/>
      <c r="F1171" s="155"/>
      <c r="G1171" s="155"/>
    </row>
    <row r="1172" spans="2:7" x14ac:dyDescent="0.2">
      <c r="B1172" s="155"/>
      <c r="C1172" s="155"/>
      <c r="D1172" s="155"/>
      <c r="E1172" s="155"/>
      <c r="F1172" s="155"/>
      <c r="G1172" s="155"/>
    </row>
    <row r="1173" spans="2:7" x14ac:dyDescent="0.2">
      <c r="B1173" s="155"/>
      <c r="C1173" s="155"/>
      <c r="D1173" s="155"/>
      <c r="E1173" s="155"/>
      <c r="F1173" s="155"/>
      <c r="G1173" s="155"/>
    </row>
    <row r="1174" spans="2:7" x14ac:dyDescent="0.2">
      <c r="B1174" s="155"/>
      <c r="C1174" s="155"/>
      <c r="D1174" s="155"/>
      <c r="E1174" s="155"/>
      <c r="F1174" s="155"/>
      <c r="G1174" s="155"/>
    </row>
    <row r="1175" spans="2:7" x14ac:dyDescent="0.2">
      <c r="B1175" s="155"/>
      <c r="C1175" s="155"/>
      <c r="D1175" s="155"/>
      <c r="E1175" s="155"/>
      <c r="F1175" s="155"/>
      <c r="G1175" s="155"/>
    </row>
    <row r="1176" spans="2:7" x14ac:dyDescent="0.2">
      <c r="B1176" s="155"/>
      <c r="C1176" s="155"/>
      <c r="D1176" s="155"/>
      <c r="E1176" s="155"/>
      <c r="F1176" s="155"/>
      <c r="G1176" s="155"/>
    </row>
    <row r="1177" spans="2:7" x14ac:dyDescent="0.2">
      <c r="B1177" s="155"/>
      <c r="C1177" s="155"/>
      <c r="D1177" s="155"/>
      <c r="E1177" s="155"/>
      <c r="F1177" s="155"/>
      <c r="G1177" s="155"/>
    </row>
    <row r="1178" spans="2:7" x14ac:dyDescent="0.2">
      <c r="B1178" s="155"/>
      <c r="C1178" s="155"/>
      <c r="D1178" s="155"/>
      <c r="E1178" s="155"/>
      <c r="F1178" s="155"/>
      <c r="G1178" s="155"/>
    </row>
    <row r="1179" spans="2:7" x14ac:dyDescent="0.2">
      <c r="B1179" s="155"/>
      <c r="C1179" s="155"/>
      <c r="D1179" s="155"/>
      <c r="E1179" s="155"/>
      <c r="F1179" s="155"/>
      <c r="G1179" s="155"/>
    </row>
    <row r="1180" spans="2:7" x14ac:dyDescent="0.2">
      <c r="B1180" s="155"/>
      <c r="C1180" s="155"/>
      <c r="D1180" s="155"/>
      <c r="E1180" s="155"/>
      <c r="F1180" s="155"/>
      <c r="G1180" s="155"/>
    </row>
    <row r="1181" spans="2:7" x14ac:dyDescent="0.2">
      <c r="B1181" s="155"/>
      <c r="C1181" s="155"/>
      <c r="D1181" s="155"/>
      <c r="E1181" s="155"/>
      <c r="F1181" s="155"/>
      <c r="G1181" s="155"/>
    </row>
    <row r="1182" spans="2:7" x14ac:dyDescent="0.2">
      <c r="B1182" s="155"/>
      <c r="C1182" s="155"/>
      <c r="D1182" s="155"/>
      <c r="E1182" s="155"/>
      <c r="F1182" s="155"/>
      <c r="G1182" s="155"/>
    </row>
    <row r="1183" spans="2:7" x14ac:dyDescent="0.2">
      <c r="B1183" s="155"/>
      <c r="C1183" s="155"/>
      <c r="D1183" s="155"/>
      <c r="E1183" s="155"/>
      <c r="F1183" s="155"/>
      <c r="G1183" s="155"/>
    </row>
    <row r="1184" spans="2:7" x14ac:dyDescent="0.2">
      <c r="B1184" s="155"/>
      <c r="C1184" s="155"/>
      <c r="D1184" s="155"/>
      <c r="E1184" s="155"/>
      <c r="F1184" s="155"/>
      <c r="G1184" s="155"/>
    </row>
    <row r="1185" spans="2:7" x14ac:dyDescent="0.2">
      <c r="B1185" s="155"/>
      <c r="C1185" s="155"/>
      <c r="D1185" s="155"/>
      <c r="E1185" s="155"/>
      <c r="F1185" s="155"/>
      <c r="G1185" s="155"/>
    </row>
    <row r="1186" spans="2:7" x14ac:dyDescent="0.2">
      <c r="B1186" s="155"/>
      <c r="C1186" s="155"/>
      <c r="D1186" s="155"/>
      <c r="E1186" s="155"/>
      <c r="F1186" s="155"/>
      <c r="G1186" s="155"/>
    </row>
    <row r="1187" spans="2:7" x14ac:dyDescent="0.2">
      <c r="B1187" s="155"/>
      <c r="C1187" s="155"/>
      <c r="D1187" s="155"/>
      <c r="E1187" s="155"/>
      <c r="F1187" s="155"/>
      <c r="G1187" s="155"/>
    </row>
    <row r="1188" spans="2:7" x14ac:dyDescent="0.2">
      <c r="B1188" s="155"/>
      <c r="C1188" s="155"/>
      <c r="D1188" s="155"/>
      <c r="E1188" s="155"/>
      <c r="F1188" s="155"/>
      <c r="G1188" s="155"/>
    </row>
    <row r="1189" spans="2:7" x14ac:dyDescent="0.2">
      <c r="B1189" s="155"/>
      <c r="C1189" s="155"/>
      <c r="D1189" s="155"/>
      <c r="E1189" s="155"/>
      <c r="F1189" s="155"/>
      <c r="G1189" s="155"/>
    </row>
    <row r="1190" spans="2:7" x14ac:dyDescent="0.2">
      <c r="B1190" s="155"/>
      <c r="C1190" s="155"/>
      <c r="D1190" s="155"/>
      <c r="E1190" s="155"/>
      <c r="F1190" s="155"/>
      <c r="G1190" s="155"/>
    </row>
    <row r="1191" spans="2:7" x14ac:dyDescent="0.2">
      <c r="B1191" s="155"/>
      <c r="C1191" s="155"/>
      <c r="D1191" s="155"/>
      <c r="E1191" s="155"/>
      <c r="F1191" s="155"/>
      <c r="G1191" s="155"/>
    </row>
    <row r="1192" spans="2:7" x14ac:dyDescent="0.2">
      <c r="B1192" s="155"/>
      <c r="C1192" s="155"/>
      <c r="D1192" s="155"/>
      <c r="E1192" s="155"/>
      <c r="F1192" s="155"/>
      <c r="G1192" s="155"/>
    </row>
    <row r="1193" spans="2:7" x14ac:dyDescent="0.2">
      <c r="B1193" s="155"/>
      <c r="C1193" s="155"/>
      <c r="D1193" s="155"/>
      <c r="E1193" s="155"/>
      <c r="F1193" s="155"/>
      <c r="G1193" s="155"/>
    </row>
    <row r="1194" spans="2:7" x14ac:dyDescent="0.2">
      <c r="B1194" s="155"/>
      <c r="C1194" s="155"/>
      <c r="D1194" s="155"/>
      <c r="E1194" s="155"/>
      <c r="F1194" s="155"/>
      <c r="G1194" s="155"/>
    </row>
    <row r="1195" spans="2:7" x14ac:dyDescent="0.2">
      <c r="B1195" s="155"/>
      <c r="C1195" s="155"/>
      <c r="D1195" s="155"/>
      <c r="E1195" s="155"/>
      <c r="F1195" s="155"/>
      <c r="G1195" s="155"/>
    </row>
    <row r="1196" spans="2:7" x14ac:dyDescent="0.2">
      <c r="B1196" s="155"/>
      <c r="C1196" s="155"/>
      <c r="D1196" s="155"/>
      <c r="E1196" s="155"/>
      <c r="F1196" s="155"/>
      <c r="G1196" s="155"/>
    </row>
    <row r="1197" spans="2:7" x14ac:dyDescent="0.2">
      <c r="B1197" s="155"/>
      <c r="C1197" s="155"/>
      <c r="D1197" s="155"/>
      <c r="E1197" s="155"/>
      <c r="F1197" s="155"/>
      <c r="G1197" s="155"/>
    </row>
    <row r="1198" spans="2:7" x14ac:dyDescent="0.2">
      <c r="B1198" s="155"/>
      <c r="C1198" s="155"/>
      <c r="D1198" s="155"/>
      <c r="E1198" s="155"/>
      <c r="F1198" s="155"/>
      <c r="G1198" s="155"/>
    </row>
    <row r="1199" spans="2:7" x14ac:dyDescent="0.2">
      <c r="B1199" s="155"/>
      <c r="C1199" s="155"/>
      <c r="D1199" s="155"/>
      <c r="E1199" s="155"/>
      <c r="F1199" s="155"/>
      <c r="G1199" s="155"/>
    </row>
    <row r="1200" spans="2:7" x14ac:dyDescent="0.2">
      <c r="B1200" s="155"/>
      <c r="C1200" s="155"/>
      <c r="D1200" s="155"/>
      <c r="E1200" s="155"/>
      <c r="F1200" s="155"/>
      <c r="G1200" s="155"/>
    </row>
    <row r="1201" spans="2:7" x14ac:dyDescent="0.2">
      <c r="B1201" s="155"/>
      <c r="C1201" s="155"/>
      <c r="D1201" s="155"/>
      <c r="E1201" s="155"/>
      <c r="F1201" s="155"/>
      <c r="G1201" s="155"/>
    </row>
    <row r="1202" spans="2:7" x14ac:dyDescent="0.2">
      <c r="B1202" s="155"/>
      <c r="C1202" s="155"/>
      <c r="D1202" s="155"/>
      <c r="E1202" s="155"/>
      <c r="F1202" s="155"/>
      <c r="G1202" s="155"/>
    </row>
    <row r="1203" spans="2:7" x14ac:dyDescent="0.2">
      <c r="B1203" s="155"/>
      <c r="C1203" s="155"/>
      <c r="D1203" s="155"/>
      <c r="E1203" s="155"/>
      <c r="F1203" s="155"/>
      <c r="G1203" s="155"/>
    </row>
    <row r="1204" spans="2:7" x14ac:dyDescent="0.2">
      <c r="B1204" s="155"/>
      <c r="C1204" s="155"/>
      <c r="D1204" s="155"/>
      <c r="E1204" s="155"/>
      <c r="F1204" s="155"/>
      <c r="G1204" s="155"/>
    </row>
    <row r="1205" spans="2:7" x14ac:dyDescent="0.2">
      <c r="B1205" s="155"/>
      <c r="C1205" s="155"/>
      <c r="D1205" s="155"/>
      <c r="E1205" s="155"/>
      <c r="F1205" s="155"/>
      <c r="G1205" s="155"/>
    </row>
    <row r="1206" spans="2:7" x14ac:dyDescent="0.2">
      <c r="B1206" s="155"/>
      <c r="C1206" s="155"/>
      <c r="D1206" s="155"/>
      <c r="E1206" s="155"/>
      <c r="F1206" s="155"/>
      <c r="G1206" s="155"/>
    </row>
    <row r="1207" spans="2:7" x14ac:dyDescent="0.2">
      <c r="B1207" s="155"/>
      <c r="C1207" s="155"/>
      <c r="D1207" s="155"/>
      <c r="E1207" s="155"/>
      <c r="F1207" s="155"/>
      <c r="G1207" s="155"/>
    </row>
    <row r="1208" spans="2:7" x14ac:dyDescent="0.2">
      <c r="B1208" s="155"/>
      <c r="C1208" s="155"/>
      <c r="D1208" s="155"/>
      <c r="E1208" s="155"/>
      <c r="F1208" s="155"/>
      <c r="G1208" s="155"/>
    </row>
    <row r="1209" spans="2:7" x14ac:dyDescent="0.2">
      <c r="B1209" s="155"/>
      <c r="C1209" s="155"/>
      <c r="D1209" s="155"/>
      <c r="E1209" s="155"/>
      <c r="F1209" s="155"/>
      <c r="G1209" s="155"/>
    </row>
    <row r="1210" spans="2:7" x14ac:dyDescent="0.2">
      <c r="B1210" s="155"/>
      <c r="C1210" s="155"/>
      <c r="D1210" s="155"/>
      <c r="E1210" s="155"/>
      <c r="F1210" s="155"/>
      <c r="G1210" s="155"/>
    </row>
    <row r="1211" spans="2:7" x14ac:dyDescent="0.2">
      <c r="B1211" s="155"/>
      <c r="C1211" s="155"/>
      <c r="D1211" s="155"/>
      <c r="E1211" s="155"/>
      <c r="F1211" s="155"/>
      <c r="G1211" s="155"/>
    </row>
    <row r="1212" spans="2:7" x14ac:dyDescent="0.2">
      <c r="B1212" s="155"/>
      <c r="C1212" s="155"/>
      <c r="D1212" s="155"/>
      <c r="E1212" s="155"/>
      <c r="F1212" s="155"/>
      <c r="G1212" s="155"/>
    </row>
    <row r="1213" spans="2:7" x14ac:dyDescent="0.2">
      <c r="B1213" s="155"/>
      <c r="C1213" s="155"/>
      <c r="D1213" s="155"/>
      <c r="E1213" s="155"/>
      <c r="F1213" s="155"/>
      <c r="G1213" s="155"/>
    </row>
    <row r="1214" spans="2:7" x14ac:dyDescent="0.2">
      <c r="B1214" s="155"/>
      <c r="C1214" s="155"/>
      <c r="D1214" s="155"/>
      <c r="E1214" s="155"/>
      <c r="F1214" s="155"/>
      <c r="G1214" s="155"/>
    </row>
    <row r="1215" spans="2:7" x14ac:dyDescent="0.2">
      <c r="B1215" s="155"/>
      <c r="C1215" s="155"/>
      <c r="D1215" s="155"/>
      <c r="E1215" s="155"/>
      <c r="F1215" s="155"/>
      <c r="G1215" s="155"/>
    </row>
    <row r="1216" spans="2:7" x14ac:dyDescent="0.2">
      <c r="B1216" s="155"/>
      <c r="C1216" s="155"/>
      <c r="D1216" s="155"/>
      <c r="E1216" s="155"/>
      <c r="F1216" s="155"/>
      <c r="G1216" s="155"/>
    </row>
    <row r="1217" spans="2:7" x14ac:dyDescent="0.2">
      <c r="B1217" s="155"/>
      <c r="C1217" s="155"/>
      <c r="D1217" s="155"/>
      <c r="E1217" s="155"/>
      <c r="F1217" s="155"/>
      <c r="G1217" s="155"/>
    </row>
    <row r="1218" spans="2:7" x14ac:dyDescent="0.2">
      <c r="B1218" s="155"/>
      <c r="C1218" s="155"/>
      <c r="D1218" s="155"/>
      <c r="E1218" s="155"/>
      <c r="F1218" s="155"/>
      <c r="G1218" s="155"/>
    </row>
    <row r="1219" spans="2:7" x14ac:dyDescent="0.2">
      <c r="B1219" s="155"/>
      <c r="C1219" s="155"/>
      <c r="D1219" s="155"/>
      <c r="E1219" s="155"/>
      <c r="F1219" s="155"/>
      <c r="G1219" s="155"/>
    </row>
    <row r="1220" spans="2:7" x14ac:dyDescent="0.2">
      <c r="B1220" s="155"/>
      <c r="C1220" s="155"/>
      <c r="D1220" s="155"/>
      <c r="E1220" s="155"/>
      <c r="F1220" s="155"/>
      <c r="G1220" s="155"/>
    </row>
    <row r="1221" spans="2:7" x14ac:dyDescent="0.2">
      <c r="B1221" s="155"/>
      <c r="C1221" s="155"/>
      <c r="D1221" s="155"/>
      <c r="E1221" s="155"/>
      <c r="F1221" s="155"/>
      <c r="G1221" s="155"/>
    </row>
    <row r="1222" spans="2:7" x14ac:dyDescent="0.2">
      <c r="B1222" s="155"/>
      <c r="C1222" s="155"/>
      <c r="D1222" s="155"/>
      <c r="E1222" s="155"/>
      <c r="F1222" s="155"/>
      <c r="G1222" s="155"/>
    </row>
    <row r="1223" spans="2:7" x14ac:dyDescent="0.2">
      <c r="B1223" s="155"/>
      <c r="C1223" s="155"/>
      <c r="D1223" s="155"/>
      <c r="E1223" s="155"/>
      <c r="F1223" s="155"/>
      <c r="G1223" s="155"/>
    </row>
    <row r="1224" spans="2:7" x14ac:dyDescent="0.2">
      <c r="B1224" s="155"/>
      <c r="C1224" s="155"/>
      <c r="D1224" s="155"/>
      <c r="E1224" s="155"/>
      <c r="F1224" s="155"/>
      <c r="G1224" s="155"/>
    </row>
    <row r="1225" spans="2:7" x14ac:dyDescent="0.2">
      <c r="B1225" s="155"/>
      <c r="C1225" s="155"/>
      <c r="D1225" s="155"/>
      <c r="E1225" s="155"/>
      <c r="F1225" s="155"/>
      <c r="G1225" s="155"/>
    </row>
    <row r="1226" spans="2:7" x14ac:dyDescent="0.2">
      <c r="B1226" s="155"/>
      <c r="C1226" s="155"/>
      <c r="D1226" s="155"/>
      <c r="E1226" s="155"/>
      <c r="F1226" s="155"/>
      <c r="G1226" s="155"/>
    </row>
    <row r="1227" spans="2:7" x14ac:dyDescent="0.2">
      <c r="B1227" s="155"/>
      <c r="C1227" s="155"/>
      <c r="D1227" s="155"/>
      <c r="E1227" s="155"/>
      <c r="F1227" s="155"/>
      <c r="G1227" s="155"/>
    </row>
    <row r="1228" spans="2:7" x14ac:dyDescent="0.2">
      <c r="B1228" s="155"/>
      <c r="C1228" s="155"/>
      <c r="D1228" s="155"/>
      <c r="E1228" s="155"/>
      <c r="F1228" s="155"/>
      <c r="G1228" s="155"/>
    </row>
    <row r="1229" spans="2:7" x14ac:dyDescent="0.2">
      <c r="B1229" s="155"/>
      <c r="C1229" s="155"/>
      <c r="D1229" s="155"/>
      <c r="E1229" s="155"/>
      <c r="F1229" s="155"/>
      <c r="G1229" s="155"/>
    </row>
    <row r="1230" spans="2:7" x14ac:dyDescent="0.2">
      <c r="B1230" s="155"/>
      <c r="C1230" s="155"/>
      <c r="D1230" s="155"/>
      <c r="E1230" s="155"/>
      <c r="F1230" s="155"/>
      <c r="G1230" s="155"/>
    </row>
    <row r="1231" spans="2:7" x14ac:dyDescent="0.2">
      <c r="B1231" s="155"/>
      <c r="C1231" s="155"/>
      <c r="D1231" s="155"/>
      <c r="E1231" s="155"/>
      <c r="F1231" s="155"/>
      <c r="G1231" s="155"/>
    </row>
    <row r="1232" spans="2:7" x14ac:dyDescent="0.2">
      <c r="B1232" s="155"/>
      <c r="C1232" s="155"/>
      <c r="D1232" s="155"/>
      <c r="E1232" s="155"/>
      <c r="F1232" s="155"/>
      <c r="G1232" s="155"/>
    </row>
    <row r="1233" spans="2:7" x14ac:dyDescent="0.2">
      <c r="B1233" s="155"/>
      <c r="C1233" s="155"/>
      <c r="D1233" s="155"/>
      <c r="E1233" s="155"/>
      <c r="F1233" s="155"/>
      <c r="G1233" s="155"/>
    </row>
    <row r="1234" spans="2:7" x14ac:dyDescent="0.2">
      <c r="B1234" s="155"/>
      <c r="C1234" s="155"/>
      <c r="D1234" s="155"/>
      <c r="E1234" s="155"/>
      <c r="F1234" s="155"/>
      <c r="G1234" s="155"/>
    </row>
    <row r="1235" spans="2:7" x14ac:dyDescent="0.2">
      <c r="B1235" s="155"/>
      <c r="C1235" s="155"/>
      <c r="D1235" s="155"/>
      <c r="E1235" s="155"/>
      <c r="F1235" s="155"/>
      <c r="G1235" s="155"/>
    </row>
    <row r="1236" spans="2:7" x14ac:dyDescent="0.2">
      <c r="B1236" s="155"/>
      <c r="C1236" s="155"/>
      <c r="D1236" s="155"/>
      <c r="E1236" s="155"/>
      <c r="F1236" s="155"/>
      <c r="G1236" s="155"/>
    </row>
    <row r="1237" spans="2:7" x14ac:dyDescent="0.2">
      <c r="B1237" s="155"/>
      <c r="C1237" s="155"/>
      <c r="D1237" s="155"/>
      <c r="E1237" s="155"/>
      <c r="F1237" s="155"/>
      <c r="G1237" s="155"/>
    </row>
    <row r="1238" spans="2:7" x14ac:dyDescent="0.2">
      <c r="B1238" s="155"/>
      <c r="C1238" s="155"/>
      <c r="D1238" s="155"/>
      <c r="E1238" s="155"/>
      <c r="F1238" s="155"/>
      <c r="G1238" s="155"/>
    </row>
    <row r="1239" spans="2:7" x14ac:dyDescent="0.2">
      <c r="B1239" s="155"/>
      <c r="C1239" s="155"/>
      <c r="D1239" s="155"/>
      <c r="E1239" s="155"/>
      <c r="F1239" s="155"/>
      <c r="G1239" s="155"/>
    </row>
    <row r="1240" spans="2:7" x14ac:dyDescent="0.2">
      <c r="B1240" s="155"/>
      <c r="C1240" s="155"/>
      <c r="D1240" s="155"/>
      <c r="E1240" s="155"/>
      <c r="F1240" s="155"/>
      <c r="G1240" s="155"/>
    </row>
    <row r="1241" spans="2:7" x14ac:dyDescent="0.2">
      <c r="B1241" s="155"/>
      <c r="C1241" s="155"/>
      <c r="D1241" s="155"/>
      <c r="E1241" s="155"/>
      <c r="F1241" s="155"/>
      <c r="G1241" s="155"/>
    </row>
    <row r="1242" spans="2:7" x14ac:dyDescent="0.2">
      <c r="B1242" s="155"/>
      <c r="C1242" s="155"/>
      <c r="D1242" s="155"/>
      <c r="E1242" s="155"/>
      <c r="F1242" s="155"/>
      <c r="G1242" s="155"/>
    </row>
    <row r="1243" spans="2:7" x14ac:dyDescent="0.2">
      <c r="B1243" s="155"/>
      <c r="C1243" s="155"/>
      <c r="D1243" s="155"/>
      <c r="E1243" s="155"/>
      <c r="F1243" s="155"/>
      <c r="G1243" s="155"/>
    </row>
    <row r="1244" spans="2:7" x14ac:dyDescent="0.2">
      <c r="B1244" s="155"/>
      <c r="C1244" s="155"/>
      <c r="D1244" s="155"/>
      <c r="E1244" s="155"/>
      <c r="F1244" s="155"/>
      <c r="G1244" s="155"/>
    </row>
    <row r="1245" spans="2:7" x14ac:dyDescent="0.2">
      <c r="B1245" s="155"/>
      <c r="C1245" s="155"/>
      <c r="D1245" s="155"/>
      <c r="E1245" s="155"/>
      <c r="F1245" s="155"/>
      <c r="G1245" s="155"/>
    </row>
    <row r="1246" spans="2:7" x14ac:dyDescent="0.2">
      <c r="B1246" s="155"/>
      <c r="C1246" s="155"/>
      <c r="D1246" s="155"/>
      <c r="E1246" s="155"/>
      <c r="F1246" s="155"/>
      <c r="G1246" s="155"/>
    </row>
    <row r="1247" spans="2:7" x14ac:dyDescent="0.2">
      <c r="B1247" s="155"/>
      <c r="C1247" s="155"/>
      <c r="D1247" s="155"/>
      <c r="E1247" s="155"/>
      <c r="F1247" s="155"/>
      <c r="G1247" s="155"/>
    </row>
    <row r="1248" spans="2:7" x14ac:dyDescent="0.2">
      <c r="B1248" s="155"/>
      <c r="C1248" s="155"/>
      <c r="D1248" s="155"/>
      <c r="E1248" s="155"/>
      <c r="F1248" s="155"/>
      <c r="G1248" s="155"/>
    </row>
    <row r="1249" spans="2:7" x14ac:dyDescent="0.2">
      <c r="B1249" s="155"/>
      <c r="C1249" s="155"/>
      <c r="D1249" s="155"/>
      <c r="E1249" s="155"/>
      <c r="F1249" s="155"/>
      <c r="G1249" s="155"/>
    </row>
    <row r="1250" spans="2:7" x14ac:dyDescent="0.2">
      <c r="B1250" s="155"/>
      <c r="C1250" s="155"/>
      <c r="D1250" s="155"/>
      <c r="E1250" s="155"/>
      <c r="F1250" s="155"/>
      <c r="G1250" s="155"/>
    </row>
    <row r="1251" spans="2:7" x14ac:dyDescent="0.2">
      <c r="B1251" s="155"/>
      <c r="C1251" s="155"/>
      <c r="D1251" s="155"/>
      <c r="E1251" s="155"/>
      <c r="F1251" s="155"/>
      <c r="G1251" s="155"/>
    </row>
    <row r="1252" spans="2:7" x14ac:dyDescent="0.2">
      <c r="B1252" s="155"/>
      <c r="C1252" s="155"/>
      <c r="D1252" s="155"/>
      <c r="E1252" s="155"/>
      <c r="F1252" s="155"/>
      <c r="G1252" s="155"/>
    </row>
    <row r="1253" spans="2:7" x14ac:dyDescent="0.2">
      <c r="B1253" s="155"/>
      <c r="C1253" s="155"/>
      <c r="D1253" s="155"/>
      <c r="E1253" s="155"/>
      <c r="F1253" s="155"/>
      <c r="G1253" s="155"/>
    </row>
    <row r="1254" spans="2:7" x14ac:dyDescent="0.2">
      <c r="B1254" s="155"/>
      <c r="C1254" s="155"/>
      <c r="D1254" s="155"/>
      <c r="E1254" s="155"/>
      <c r="F1254" s="155"/>
      <c r="G1254" s="155"/>
    </row>
    <row r="1255" spans="2:7" x14ac:dyDescent="0.2">
      <c r="B1255" s="155"/>
      <c r="C1255" s="155"/>
      <c r="D1255" s="155"/>
      <c r="E1255" s="155"/>
      <c r="F1255" s="155"/>
      <c r="G1255" s="155"/>
    </row>
    <row r="1256" spans="2:7" x14ac:dyDescent="0.2">
      <c r="B1256" s="155"/>
      <c r="C1256" s="155"/>
      <c r="D1256" s="155"/>
      <c r="E1256" s="155"/>
      <c r="F1256" s="155"/>
      <c r="G1256" s="155"/>
    </row>
    <row r="1257" spans="2:7" x14ac:dyDescent="0.2">
      <c r="B1257" s="155"/>
      <c r="C1257" s="155"/>
      <c r="D1257" s="155"/>
      <c r="E1257" s="155"/>
      <c r="F1257" s="155"/>
      <c r="G1257" s="155"/>
    </row>
    <row r="1258" spans="2:7" x14ac:dyDescent="0.2">
      <c r="B1258" s="155"/>
      <c r="C1258" s="155"/>
      <c r="D1258" s="155"/>
      <c r="E1258" s="155"/>
      <c r="F1258" s="155"/>
      <c r="G1258" s="155"/>
    </row>
    <row r="1259" spans="2:7" x14ac:dyDescent="0.2">
      <c r="B1259" s="155"/>
      <c r="C1259" s="155"/>
      <c r="D1259" s="155"/>
      <c r="E1259" s="155"/>
      <c r="F1259" s="155"/>
      <c r="G1259" s="155"/>
    </row>
    <row r="1260" spans="2:7" x14ac:dyDescent="0.2">
      <c r="B1260" s="155"/>
      <c r="C1260" s="155"/>
      <c r="D1260" s="155"/>
      <c r="E1260" s="155"/>
      <c r="F1260" s="155"/>
      <c r="G1260" s="155"/>
    </row>
    <row r="1261" spans="2:7" x14ac:dyDescent="0.2">
      <c r="B1261" s="155"/>
      <c r="C1261" s="155"/>
      <c r="D1261" s="155"/>
      <c r="E1261" s="155"/>
      <c r="F1261" s="155"/>
      <c r="G1261" s="155"/>
    </row>
    <row r="1262" spans="2:7" x14ac:dyDescent="0.2">
      <c r="B1262" s="155"/>
      <c r="C1262" s="155"/>
      <c r="D1262" s="155"/>
      <c r="E1262" s="155"/>
      <c r="F1262" s="155"/>
      <c r="G1262" s="155"/>
    </row>
    <row r="1263" spans="2:7" x14ac:dyDescent="0.2">
      <c r="B1263" s="155"/>
      <c r="C1263" s="155"/>
      <c r="D1263" s="155"/>
      <c r="E1263" s="155"/>
      <c r="F1263" s="155"/>
      <c r="G1263" s="155"/>
    </row>
    <row r="1264" spans="2:7" x14ac:dyDescent="0.2">
      <c r="B1264" s="155"/>
      <c r="C1264" s="155"/>
      <c r="D1264" s="155"/>
      <c r="E1264" s="155"/>
      <c r="F1264" s="155"/>
      <c r="G1264" s="155"/>
    </row>
    <row r="1265" spans="2:7" x14ac:dyDescent="0.2">
      <c r="B1265" s="155"/>
      <c r="C1265" s="155"/>
      <c r="D1265" s="155"/>
      <c r="E1265" s="155"/>
      <c r="F1265" s="155"/>
      <c r="G1265" s="155"/>
    </row>
    <row r="1266" spans="2:7" x14ac:dyDescent="0.2">
      <c r="B1266" s="155"/>
      <c r="C1266" s="155"/>
      <c r="D1266" s="155"/>
      <c r="E1266" s="155"/>
      <c r="F1266" s="155"/>
      <c r="G1266" s="155"/>
    </row>
  </sheetData>
  <mergeCells count="4">
    <mergeCell ref="B64:G85"/>
    <mergeCell ref="B215:D215"/>
    <mergeCell ref="B187:G208"/>
    <mergeCell ref="B105:G126"/>
  </mergeCells>
  <conditionalFormatting sqref="G17:G20">
    <cfRule type="cellIs" dxfId="18" priority="17" operator="equal">
      <formula>"Enter Consumption Figure"</formula>
    </cfRule>
  </conditionalFormatting>
  <conditionalFormatting sqref="G28">
    <cfRule type="cellIs" dxfId="17" priority="15" operator="equal">
      <formula>"Enter Consumption Figure"</formula>
    </cfRule>
  </conditionalFormatting>
  <conditionalFormatting sqref="G25:G27">
    <cfRule type="cellIs" dxfId="16" priority="14" operator="equal">
      <formula>"Enter Consumption Figure"</formula>
    </cfRule>
  </conditionalFormatting>
  <conditionalFormatting sqref="G140:G152">
    <cfRule type="cellIs" dxfId="15" priority="13" operator="equal">
      <formula>"Enter Consumption Figure"</formula>
    </cfRule>
  </conditionalFormatting>
  <conditionalFormatting sqref="G100">
    <cfRule type="cellIs" dxfId="14" priority="12" operator="equal">
      <formula>"Enter Consumption Figure"</formula>
    </cfRule>
  </conditionalFormatting>
  <conditionalFormatting sqref="B100">
    <cfRule type="duplicateValues" dxfId="13" priority="11"/>
  </conditionalFormatting>
  <conditionalFormatting sqref="H157">
    <cfRule type="cellIs" dxfId="12" priority="10" operator="equal">
      <formula>"Enter Consumption Figure"</formula>
    </cfRule>
  </conditionalFormatting>
  <conditionalFormatting sqref="H158">
    <cfRule type="cellIs" dxfId="11" priority="9" operator="equal">
      <formula>"Enter Consumption Figure"</formula>
    </cfRule>
  </conditionalFormatting>
  <conditionalFormatting sqref="H159">
    <cfRule type="cellIs" dxfId="10" priority="8" operator="equal">
      <formula>"Enter Consumption Figure"</formula>
    </cfRule>
  </conditionalFormatting>
  <conditionalFormatting sqref="H160:H162">
    <cfRule type="cellIs" dxfId="9" priority="7" operator="equal">
      <formula>"Enter Consumption Figure"</formula>
    </cfRule>
  </conditionalFormatting>
  <conditionalFormatting sqref="H171">
    <cfRule type="cellIs" dxfId="8" priority="6" operator="equal">
      <formula>"Enter Consumption Figure"</formula>
    </cfRule>
  </conditionalFormatting>
  <conditionalFormatting sqref="H172">
    <cfRule type="cellIs" dxfId="7" priority="5" operator="equal">
      <formula>"Enter Consumption Figure"</formula>
    </cfRule>
  </conditionalFormatting>
  <conditionalFormatting sqref="H173">
    <cfRule type="cellIs" dxfId="6" priority="4" operator="equal">
      <formula>"Enter Consumption Figure"</formula>
    </cfRule>
  </conditionalFormatting>
  <conditionalFormatting sqref="H174">
    <cfRule type="cellIs" dxfId="5" priority="3" operator="equal">
      <formula>"Enter Consumption Figure"</formula>
    </cfRule>
  </conditionalFormatting>
  <conditionalFormatting sqref="H175:H177">
    <cfRule type="cellIs" dxfId="4" priority="2" operator="equal">
      <formula>"Enter Consumption Figure"</formula>
    </cfRule>
  </conditionalFormatting>
  <conditionalFormatting sqref="G33:G59">
    <cfRule type="cellIs" dxfId="3" priority="1" operator="equal">
      <formula>"Enter Consumption Figure"</formula>
    </cfRule>
  </conditionalFormatting>
  <dataValidations count="3">
    <dataValidation type="custom" allowBlank="1" showInputMessage="1" showErrorMessage="1" errorTitle="Not a Valid Value" error="The data entered is not a valid value, please click the &quot;Retry&quot; button and enter the consumption figure in a number format." sqref="E17:E20 E100 E25:E28 F171:F181 E140:E152 E33:E59 F157:F166 G163:H166 G178:H181" xr:uid="{54659E5A-B682-4CE6-AE0A-8C926278683C}">
      <formula1>ISNUMBER(E17)</formula1>
    </dataValidation>
    <dataValidation allowBlank="1" showErrorMessage="1" promptTitle="Consumption Units" prompt="Please select whether Fleet data is reported in Miles or Litres" sqref="C58:C60 D60:G60 C48:C49" xr:uid="{DBBDF599-1ECB-4D07-8CCD-35828B8EA6FF}"/>
    <dataValidation allowBlank="1" showInputMessage="1" showErrorMessage="1" errorTitle="Not a Valid Value" error="The data entered is not a valid value, please click the &quot;Retry&quot; button and enter the consumption figure in a number format." sqref="C163:D166 C178:D181" xr:uid="{7184EB99-8506-41E6-8CC3-12B197512636}"/>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31B10477-1331-4970-A5FB-9DDAD8EFBC5A}">
          <x14:formula1>
            <xm:f>'List Tab'!$X$4:$X$6</xm:f>
          </x14:formula1>
          <xm:sqref>D162</xm:sqref>
        </x14:dataValidation>
        <x14:dataValidation type="list" allowBlank="1" showInputMessage="1" showErrorMessage="1" xr:uid="{C5F50C8C-0D00-4C62-B23D-D21009A66ABA}">
          <x14:formula1>
            <xm:f>'List Tab'!$V$4:$V$7</xm:f>
          </x14:formula1>
          <xm:sqref>D159:D161</xm:sqref>
        </x14:dataValidation>
        <x14:dataValidation type="list" allowBlank="1" showInputMessage="1" showErrorMessage="1" xr:uid="{7778E1D0-7D25-46A4-8128-592C2B1462AA}">
          <x14:formula1>
            <xm:f>'List Tab'!$AL$4:$AL$8</xm:f>
          </x14:formula1>
          <xm:sqref>D177</xm:sqref>
        </x14:dataValidation>
        <x14:dataValidation type="list" allowBlank="1" showInputMessage="1" showErrorMessage="1" xr:uid="{9E332AAF-CFC7-48AC-8DDE-8248CDB61600}">
          <x14:formula1>
            <xm:f>'List Tab'!$AJ$4:$AJ$8</xm:f>
          </x14:formula1>
          <xm:sqref>D176</xm:sqref>
        </x14:dataValidation>
        <x14:dataValidation type="list" allowBlank="1" showInputMessage="1" showErrorMessage="1" xr:uid="{AFDCD849-25E9-4EC7-A4F3-0E784E934D3C}">
          <x14:formula1>
            <xm:f>'List Tab'!$AH$4:$AH$8</xm:f>
          </x14:formula1>
          <xm:sqref>D175</xm:sqref>
        </x14:dataValidation>
        <x14:dataValidation type="list" allowBlank="1" showInputMessage="1" showErrorMessage="1" xr:uid="{248DB602-DC11-4ED0-8FDB-6DD71BE0C34D}">
          <x14:formula1>
            <xm:f>'List Tab'!$AF$4:$AF$7</xm:f>
          </x14:formula1>
          <xm:sqref>D174</xm:sqref>
        </x14:dataValidation>
        <x14:dataValidation type="list" allowBlank="1" showInputMessage="1" showErrorMessage="1" xr:uid="{4452EC7D-9554-4504-A78F-35C07988D51A}">
          <x14:formula1>
            <xm:f>'List Tab'!$AD$4:$AD$9</xm:f>
          </x14:formula1>
          <xm:sqref>D173</xm:sqref>
        </x14:dataValidation>
        <x14:dataValidation type="list" allowBlank="1" showInputMessage="1" showErrorMessage="1" xr:uid="{2301F893-34F5-474A-BDC1-9545ED15B961}">
          <x14:formula1>
            <xm:f>'List Tab'!$AB$4:$AB$8</xm:f>
          </x14:formula1>
          <xm:sqref>D172</xm:sqref>
        </x14:dataValidation>
        <x14:dataValidation type="list" allowBlank="1" showInputMessage="1" showErrorMessage="1" xr:uid="{E3048BD0-0EE1-46C0-919C-7D7F56AFE517}">
          <x14:formula1>
            <xm:f>'List Tab'!$Z$4:$Z$8</xm:f>
          </x14:formula1>
          <xm:sqref>D171</xm:sqref>
        </x14:dataValidation>
        <x14:dataValidation type="list" allowBlank="1" showInputMessage="1" showErrorMessage="1" error="Please select consumption units" promptTitle="Consumption Units" prompt="Please select whether Fleet data is reported in Miles or Litres" xr:uid="{9520111E-FFF6-479C-BE1B-989609E6BC85}">
          <x14:formula1>
            <xm:f>'List Tab'!$R$4:$R$5</xm:f>
          </x14:formula1>
          <xm:sqref>C33:C47 C50:C57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64A8C-C4EB-4B0A-8B2D-22441CFACA3F}">
  <sheetPr>
    <tabColor rgb="FFCFDB00"/>
  </sheetPr>
  <dimension ref="B1:J223"/>
  <sheetViews>
    <sheetView showGridLines="0" zoomScale="80" zoomScaleNormal="80" workbookViewId="0">
      <selection activeCell="D16" sqref="D16"/>
    </sheetView>
  </sheetViews>
  <sheetFormatPr defaultColWidth="8.75" defaultRowHeight="14.25" x14ac:dyDescent="0.2"/>
  <cols>
    <col min="2" max="2" width="18.75" bestFit="1" customWidth="1"/>
    <col min="3" max="3" width="33.75" bestFit="1" customWidth="1"/>
    <col min="4" max="4" width="47.125" bestFit="1" customWidth="1"/>
    <col min="5" max="5" width="13.75" bestFit="1" customWidth="1"/>
    <col min="6" max="6" width="29.125" bestFit="1" customWidth="1"/>
    <col min="7" max="7" width="18.75" bestFit="1" customWidth="1"/>
    <col min="8" max="8" width="18" bestFit="1" customWidth="1"/>
    <col min="9" max="9" width="57.125" bestFit="1" customWidth="1"/>
    <col min="10" max="10" width="10.25" bestFit="1" customWidth="1"/>
    <col min="11" max="11" width="13.625" bestFit="1" customWidth="1"/>
    <col min="12" max="12" width="13.625" customWidth="1"/>
  </cols>
  <sheetData>
    <row r="1" spans="2:9" s="1" customFormat="1" x14ac:dyDescent="0.2"/>
    <row r="2" spans="2:9" s="1" customFormat="1" x14ac:dyDescent="0.2"/>
    <row r="3" spans="2:9" s="1" customFormat="1" x14ac:dyDescent="0.2"/>
    <row r="4" spans="2:9" s="1" customFormat="1" x14ac:dyDescent="0.2">
      <c r="G4"/>
      <c r="H4"/>
      <c r="I4"/>
    </row>
    <row r="5" spans="2:9" s="1" customFormat="1" x14ac:dyDescent="0.2">
      <c r="G5"/>
      <c r="H5"/>
      <c r="I5"/>
    </row>
    <row r="8" spans="2:9" ht="15" x14ac:dyDescent="0.2">
      <c r="B8" s="5" t="s">
        <v>470</v>
      </c>
    </row>
    <row r="9" spans="2:9" ht="15" thickBot="1" x14ac:dyDescent="0.25"/>
    <row r="10" spans="2:9" ht="45" x14ac:dyDescent="0.2">
      <c r="B10" s="21" t="s">
        <v>0</v>
      </c>
      <c r="C10" s="22" t="s">
        <v>457</v>
      </c>
      <c r="D10" s="22" t="s">
        <v>576</v>
      </c>
      <c r="E10" s="23" t="s">
        <v>460</v>
      </c>
    </row>
    <row r="11" spans="2:9" x14ac:dyDescent="0.2">
      <c r="B11" s="299" t="s">
        <v>49</v>
      </c>
      <c r="C11" s="17" t="str">
        <f>'Scope 1'!$B$14</f>
        <v>Heating</v>
      </c>
      <c r="D11" s="33">
        <f>SUM('Scope 1'!G17:G24)</f>
        <v>4001.6948400642232</v>
      </c>
      <c r="E11" s="34">
        <f t="shared" ref="E11:E18" si="0">IFERROR((D11/$D$22),0)</f>
        <v>0.23780550950135229</v>
      </c>
    </row>
    <row r="12" spans="2:9" x14ac:dyDescent="0.2">
      <c r="B12" s="300"/>
      <c r="C12" s="17" t="str">
        <f>'Scope 1'!$B$26</f>
        <v>Fugitive Emissions</v>
      </c>
      <c r="D12" s="33">
        <f>SUM('Scope 1'!G29:G36)</f>
        <v>0</v>
      </c>
      <c r="E12" s="34">
        <f t="shared" si="0"/>
        <v>0</v>
      </c>
    </row>
    <row r="13" spans="2:9" x14ac:dyDescent="0.2">
      <c r="B13" s="301"/>
      <c r="C13" s="17" t="str">
        <f>'Scope 1'!$B$38</f>
        <v>Authority's Fleet</v>
      </c>
      <c r="D13" s="33">
        <f>SUM('Scope 1'!G41:G67)</f>
        <v>269.86705964870004</v>
      </c>
      <c r="E13" s="34">
        <f t="shared" si="0"/>
        <v>1.6037173293394102E-2</v>
      </c>
    </row>
    <row r="14" spans="2:9" ht="15" x14ac:dyDescent="0.2">
      <c r="B14" s="51" t="s">
        <v>50</v>
      </c>
      <c r="C14" s="17" t="str">
        <f>'Scope 2'!$B$15</f>
        <v>Electricity</v>
      </c>
      <c r="D14" s="33">
        <f>SUM('Scope 2'!G18:G39)</f>
        <v>7715.2809091709205</v>
      </c>
      <c r="E14" s="34">
        <f t="shared" si="0"/>
        <v>0.45848981016303619</v>
      </c>
    </row>
    <row r="15" spans="2:9" x14ac:dyDescent="0.2">
      <c r="B15" s="299" t="s">
        <v>46</v>
      </c>
      <c r="C15" s="17" t="s">
        <v>599</v>
      </c>
      <c r="D15" s="33">
        <f>SUM('Scope 3'!G18:G30)</f>
        <v>0</v>
      </c>
      <c r="E15" s="34">
        <f t="shared" si="0"/>
        <v>0</v>
      </c>
    </row>
    <row r="16" spans="2:9" x14ac:dyDescent="0.2">
      <c r="B16" s="300"/>
      <c r="C16" s="17" t="str">
        <f>'Scope 3'!$B$32</f>
        <v>Outsourced Fleet</v>
      </c>
      <c r="D16" s="33">
        <f>SUM('Scope 3'!G35:G61)</f>
        <v>0</v>
      </c>
      <c r="E16" s="34">
        <f t="shared" si="0"/>
        <v>0</v>
      </c>
    </row>
    <row r="17" spans="2:7" x14ac:dyDescent="0.2">
      <c r="B17" s="300"/>
      <c r="C17" s="20" t="str">
        <f>'Scope 3'!B63</f>
        <v>Transmission &amp; Distribution Losses</v>
      </c>
      <c r="D17" s="35">
        <f>SUM('Scope 3'!G66:G67)</f>
        <v>653.98104174669004</v>
      </c>
      <c r="E17" s="34">
        <f t="shared" si="0"/>
        <v>3.8863606809733851E-2</v>
      </c>
    </row>
    <row r="18" spans="2:7" x14ac:dyDescent="0.2">
      <c r="B18" s="300"/>
      <c r="C18" s="17" t="str">
        <f>'Scope 3'!$B$69</f>
        <v>Water</v>
      </c>
      <c r="D18" s="35">
        <f>SUM('Scope 3'!G72:G73)</f>
        <v>118.16197859999998</v>
      </c>
      <c r="E18" s="34">
        <f t="shared" si="0"/>
        <v>7.021917124547636E-3</v>
      </c>
    </row>
    <row r="19" spans="2:7" x14ac:dyDescent="0.2">
      <c r="B19" s="300"/>
      <c r="C19" s="17" t="s">
        <v>634</v>
      </c>
      <c r="D19" s="35">
        <f>SUM('Scope 3'!H78:H87)</f>
        <v>0</v>
      </c>
      <c r="E19" s="34">
        <f t="shared" ref="E19:E20" si="1">IFERROR((D19/$D$22),0)</f>
        <v>0</v>
      </c>
    </row>
    <row r="20" spans="2:7" x14ac:dyDescent="0.2">
      <c r="B20" s="300"/>
      <c r="C20" s="20" t="s">
        <v>652</v>
      </c>
      <c r="D20" s="35">
        <f>SUM('Scope 3'!H92:H102)</f>
        <v>0</v>
      </c>
      <c r="E20" s="34">
        <f t="shared" si="1"/>
        <v>0</v>
      </c>
    </row>
    <row r="21" spans="2:7" x14ac:dyDescent="0.2">
      <c r="B21" s="301"/>
      <c r="C21" s="17" t="s">
        <v>606</v>
      </c>
      <c r="D21" s="33">
        <f>SUM(E150:E198)</f>
        <v>4068.6093280694995</v>
      </c>
      <c r="E21" s="34">
        <f>IFERROR((D21/$D$22),0)</f>
        <v>0.24178198310793581</v>
      </c>
    </row>
    <row r="22" spans="2:7" ht="15" thickBot="1" x14ac:dyDescent="0.25">
      <c r="B22" s="302" t="s">
        <v>459</v>
      </c>
      <c r="C22" s="303"/>
      <c r="D22" s="173">
        <f>SUM(D11:D21)</f>
        <v>16827.595157300035</v>
      </c>
      <c r="E22" s="174">
        <f>SUM(E11:E21)</f>
        <v>0.99999999999999978</v>
      </c>
    </row>
    <row r="23" spans="2:7" ht="15" x14ac:dyDescent="0.2">
      <c r="B23" s="5" t="s">
        <v>571</v>
      </c>
    </row>
    <row r="24" spans="2:7" ht="15" thickBot="1" x14ac:dyDescent="0.25"/>
    <row r="25" spans="2:7" ht="32.25" thickBot="1" x14ac:dyDescent="0.25">
      <c r="B25" s="24" t="s">
        <v>0</v>
      </c>
      <c r="C25" s="48" t="s">
        <v>457</v>
      </c>
      <c r="D25" s="47" t="s">
        <v>58</v>
      </c>
      <c r="E25" s="49" t="s">
        <v>576</v>
      </c>
      <c r="F25" s="47" t="s">
        <v>499</v>
      </c>
      <c r="G25" s="50" t="s">
        <v>460</v>
      </c>
    </row>
    <row r="26" spans="2:7" x14ac:dyDescent="0.2">
      <c r="B26" s="289" t="s">
        <v>49</v>
      </c>
      <c r="C26" s="281" t="str">
        <f>'Scope 1'!$B$14</f>
        <v>Heating</v>
      </c>
      <c r="D26" s="220" t="str">
        <f>'Scope 1'!B17</f>
        <v>Natural Gas</v>
      </c>
      <c r="E26" s="208">
        <f>IF('Scope 1'!G17="Enter Consumption Figure",0,'Scope 1'!G17)</f>
        <v>4001.6948400642232</v>
      </c>
      <c r="F26" s="36">
        <f t="shared" ref="F26:F33" si="2">IFERROR((E26/$D$11),0)</f>
        <v>1</v>
      </c>
      <c r="G26" s="37">
        <f>IFERROR((E26/D$22),0)</f>
        <v>0.23780550950135229</v>
      </c>
    </row>
    <row r="27" spans="2:7" x14ac:dyDescent="0.2">
      <c r="B27" s="290"/>
      <c r="C27" s="282"/>
      <c r="D27" s="221" t="str">
        <f>'Scope 1'!B18</f>
        <v>Burning Oil - Kerosene</v>
      </c>
      <c r="E27" s="209">
        <f>IF('Scope 1'!G18="Enter Consumption Figure",0,'Scope 1'!G18)</f>
        <v>0</v>
      </c>
      <c r="F27" s="38">
        <f t="shared" si="2"/>
        <v>0</v>
      </c>
      <c r="G27" s="34">
        <f t="shared" ref="G27:G33" si="3">IFERROR((E27/D$22),0)</f>
        <v>0</v>
      </c>
    </row>
    <row r="28" spans="2:7" x14ac:dyDescent="0.2">
      <c r="B28" s="290"/>
      <c r="C28" s="282"/>
      <c r="D28" s="221" t="str">
        <f>'Scope 1'!B19</f>
        <v>Gas Oil</v>
      </c>
      <c r="E28" s="209">
        <f>IF('Scope 1'!G19="Enter Consumption Figure",0,'Scope 1'!G19)</f>
        <v>0</v>
      </c>
      <c r="F28" s="38">
        <f t="shared" si="2"/>
        <v>0</v>
      </c>
      <c r="G28" s="34">
        <f t="shared" si="3"/>
        <v>0</v>
      </c>
    </row>
    <row r="29" spans="2:7" x14ac:dyDescent="0.2">
      <c r="B29" s="290"/>
      <c r="C29" s="282"/>
      <c r="D29" s="221" t="str">
        <f>'Scope 1'!B20</f>
        <v>Wood Pellets</v>
      </c>
      <c r="E29" s="209">
        <f>IF('Scope 1'!G20="Enter Consumption Figure",0,'Scope 1'!G20)</f>
        <v>0</v>
      </c>
      <c r="F29" s="38">
        <f t="shared" si="2"/>
        <v>0</v>
      </c>
      <c r="G29" s="34">
        <f t="shared" si="3"/>
        <v>0</v>
      </c>
    </row>
    <row r="30" spans="2:7" x14ac:dyDescent="0.2">
      <c r="B30" s="282"/>
      <c r="C30" s="282"/>
      <c r="D30" s="221" t="s">
        <v>649</v>
      </c>
      <c r="E30" s="209">
        <f>IF('Scope 1'!G21="Enter Consumption Figure",0,'Scope 1'!G21)</f>
        <v>0</v>
      </c>
      <c r="F30" s="38">
        <f t="shared" si="2"/>
        <v>0</v>
      </c>
      <c r="G30" s="34">
        <f t="shared" si="3"/>
        <v>0</v>
      </c>
    </row>
    <row r="31" spans="2:7" x14ac:dyDescent="0.2">
      <c r="B31" s="282"/>
      <c r="C31" s="282"/>
      <c r="D31" s="223" t="s">
        <v>617</v>
      </c>
      <c r="E31" s="209">
        <f>IF('Scope 1'!G22="Enter Consumption Figure",0,'Scope 1'!G22)</f>
        <v>0</v>
      </c>
      <c r="F31" s="38">
        <f t="shared" si="2"/>
        <v>0</v>
      </c>
      <c r="G31" s="34">
        <f t="shared" si="3"/>
        <v>0</v>
      </c>
    </row>
    <row r="32" spans="2:7" x14ac:dyDescent="0.2">
      <c r="B32" s="282"/>
      <c r="C32" s="282"/>
      <c r="D32" s="223" t="s">
        <v>618</v>
      </c>
      <c r="E32" s="209">
        <f>IF('Scope 1'!G23="Enter Consumption Figure",0,'Scope 1'!G23)</f>
        <v>0</v>
      </c>
      <c r="F32" s="38">
        <f t="shared" si="2"/>
        <v>0</v>
      </c>
      <c r="G32" s="34">
        <f t="shared" si="3"/>
        <v>0</v>
      </c>
    </row>
    <row r="33" spans="2:7" ht="15" thickBot="1" x14ac:dyDescent="0.25">
      <c r="B33" s="282"/>
      <c r="C33" s="283"/>
      <c r="D33" s="230" t="s">
        <v>619</v>
      </c>
      <c r="E33" s="219">
        <f>IF('Scope 1'!G24="Enter Consumption Figure",0,'Scope 1'!G24)</f>
        <v>0</v>
      </c>
      <c r="F33" s="200">
        <f t="shared" si="2"/>
        <v>0</v>
      </c>
      <c r="G33" s="201">
        <f t="shared" si="3"/>
        <v>0</v>
      </c>
    </row>
    <row r="34" spans="2:7" x14ac:dyDescent="0.2">
      <c r="B34" s="282"/>
      <c r="C34" s="289" t="str">
        <f>'Scope 1'!$B$26</f>
        <v>Fugitive Emissions</v>
      </c>
      <c r="D34" s="234" t="s">
        <v>592</v>
      </c>
      <c r="E34" s="208">
        <f>IF('Scope 1'!G29="Enter Consumption Figure",0,'Scope 1'!G29)</f>
        <v>0</v>
      </c>
      <c r="F34" s="36">
        <f t="shared" ref="F34:F41" si="4">IFERROR((E34/$D$12),0)</f>
        <v>0</v>
      </c>
      <c r="G34" s="37">
        <f>IFERROR((E34/D$22),0)</f>
        <v>0</v>
      </c>
    </row>
    <row r="35" spans="2:7" x14ac:dyDescent="0.2">
      <c r="B35" s="282"/>
      <c r="C35" s="290"/>
      <c r="D35" s="225" t="s">
        <v>580</v>
      </c>
      <c r="E35" s="209">
        <f>IF('Scope 1'!G30="Enter Consumption Figure",0,'Scope 1'!G30)</f>
        <v>0</v>
      </c>
      <c r="F35" s="38">
        <f t="shared" si="4"/>
        <v>0</v>
      </c>
      <c r="G35" s="34">
        <f t="shared" ref="G35:G41" si="5">IFERROR((E35/D$22),0)</f>
        <v>0</v>
      </c>
    </row>
    <row r="36" spans="2:7" x14ac:dyDescent="0.2">
      <c r="B36" s="282"/>
      <c r="C36" s="290"/>
      <c r="D36" s="225" t="s">
        <v>590</v>
      </c>
      <c r="E36" s="209">
        <f>IF('Scope 1'!G31="Enter Consumption Figure",0,'Scope 1'!G31)</f>
        <v>0</v>
      </c>
      <c r="F36" s="38">
        <f t="shared" si="4"/>
        <v>0</v>
      </c>
      <c r="G36" s="34">
        <f t="shared" si="5"/>
        <v>0</v>
      </c>
    </row>
    <row r="37" spans="2:7" x14ac:dyDescent="0.2">
      <c r="B37" s="282"/>
      <c r="C37" s="290"/>
      <c r="D37" s="226" t="str">
        <f>'Scope 1'!B32</f>
        <v>Other Please Specify</v>
      </c>
      <c r="E37" s="210">
        <f>IF('Scope 1'!G32="Enter Consumption Figure",0,'Scope 1'!G32)</f>
        <v>0</v>
      </c>
      <c r="F37" s="198">
        <f t="shared" si="4"/>
        <v>0</v>
      </c>
      <c r="G37" s="199">
        <f t="shared" si="5"/>
        <v>0</v>
      </c>
    </row>
    <row r="38" spans="2:7" x14ac:dyDescent="0.2">
      <c r="B38" s="282"/>
      <c r="C38" s="290"/>
      <c r="D38" s="226" t="str">
        <f>'Scope 1'!B33</f>
        <v>Other Please Specify</v>
      </c>
      <c r="E38" s="210">
        <f>IF('Scope 1'!G33="Enter Consumption Figure",0,'Scope 1'!G33)</f>
        <v>0</v>
      </c>
      <c r="F38" s="198">
        <f t="shared" si="4"/>
        <v>0</v>
      </c>
      <c r="G38" s="199">
        <f t="shared" si="5"/>
        <v>0</v>
      </c>
    </row>
    <row r="39" spans="2:7" x14ac:dyDescent="0.2">
      <c r="B39" s="282"/>
      <c r="C39" s="290"/>
      <c r="D39" s="226" t="str">
        <f>'Scope 1'!B34</f>
        <v>Other Please Specify</v>
      </c>
      <c r="E39" s="210">
        <f>IF('Scope 1'!G34="Enter Consumption Figure",0,'Scope 1'!G34)</f>
        <v>0</v>
      </c>
      <c r="F39" s="198">
        <f t="shared" si="4"/>
        <v>0</v>
      </c>
      <c r="G39" s="199">
        <f t="shared" si="5"/>
        <v>0</v>
      </c>
    </row>
    <row r="40" spans="2:7" x14ac:dyDescent="0.2">
      <c r="B40" s="282"/>
      <c r="C40" s="290"/>
      <c r="D40" s="226" t="str">
        <f>'Scope 1'!B35</f>
        <v>Other Please Specify</v>
      </c>
      <c r="E40" s="210">
        <f>IF('Scope 1'!G35="Enter Consumption Figure",0,'Scope 1'!G35)</f>
        <v>0</v>
      </c>
      <c r="F40" s="198">
        <f t="shared" si="4"/>
        <v>0</v>
      </c>
      <c r="G40" s="199">
        <f t="shared" si="5"/>
        <v>0</v>
      </c>
    </row>
    <row r="41" spans="2:7" ht="15" thickBot="1" x14ac:dyDescent="0.25">
      <c r="B41" s="282"/>
      <c r="C41" s="291"/>
      <c r="D41" s="222" t="str">
        <f>'Scope 1'!B36</f>
        <v>Other Please Specify</v>
      </c>
      <c r="E41" s="215">
        <f>IF('Scope 1'!G36="Enter Consumption Figure",0,'Scope 1'!G36)</f>
        <v>0</v>
      </c>
      <c r="F41" s="39">
        <f t="shared" si="4"/>
        <v>0</v>
      </c>
      <c r="G41" s="40">
        <f t="shared" si="5"/>
        <v>0</v>
      </c>
    </row>
    <row r="42" spans="2:7" x14ac:dyDescent="0.2">
      <c r="B42" s="290"/>
      <c r="C42" s="285" t="str">
        <f>'Scope 1'!$B$38</f>
        <v>Authority's Fleet</v>
      </c>
      <c r="D42" s="220" t="str">
        <f>'Scope 1'!B41</f>
        <v>Small diesel car ≤ 1.7 litre</v>
      </c>
      <c r="E42" s="214">
        <f>IF('Scope 1'!G41="Enter Consumption Figure",0,'Scope 1'!G41)</f>
        <v>0</v>
      </c>
      <c r="F42" s="41">
        <f t="shared" ref="F42:F53" si="6">IFERROR((E42/$D$13),0)</f>
        <v>0</v>
      </c>
      <c r="G42" s="37">
        <f>IFERROR((E42/D$22),0)</f>
        <v>0</v>
      </c>
    </row>
    <row r="43" spans="2:7" x14ac:dyDescent="0.2">
      <c r="B43" s="290"/>
      <c r="C43" s="285"/>
      <c r="D43" s="221" t="str">
        <f>'Scope 1'!B42</f>
        <v>Medium diesel car, 1.7 - 2.0 litre</v>
      </c>
      <c r="E43" s="209">
        <f>IF('Scope 1'!G42="Enter Consumption Figure",0,'Scope 1'!G42)</f>
        <v>0</v>
      </c>
      <c r="F43" s="38">
        <f t="shared" si="6"/>
        <v>0</v>
      </c>
      <c r="G43" s="34">
        <f t="shared" ref="G43:G68" si="7">IFERROR((E43/D$22),0)</f>
        <v>0</v>
      </c>
    </row>
    <row r="44" spans="2:7" x14ac:dyDescent="0.2">
      <c r="B44" s="290"/>
      <c r="C44" s="285"/>
      <c r="D44" s="221" t="str">
        <f>'Scope 1'!B43</f>
        <v>Large Diesel Car &gt; 2.0 litre</v>
      </c>
      <c r="E44" s="209">
        <f>IF('Scope 1'!G43="Enter Consumption Figure",0,'Scope 1'!G43)</f>
        <v>0</v>
      </c>
      <c r="F44" s="38">
        <f t="shared" si="6"/>
        <v>0</v>
      </c>
      <c r="G44" s="34">
        <f t="shared" si="7"/>
        <v>0</v>
      </c>
    </row>
    <row r="45" spans="2:7" x14ac:dyDescent="0.2">
      <c r="B45" s="290"/>
      <c r="C45" s="285"/>
      <c r="D45" s="221" t="str">
        <f>'Scope 1'!B44</f>
        <v>MPV - Diesel</v>
      </c>
      <c r="E45" s="209">
        <f>IF('Scope 1'!G44="Enter Consumption Figure",0,'Scope 1'!G44)</f>
        <v>0</v>
      </c>
      <c r="F45" s="38">
        <f t="shared" si="6"/>
        <v>0</v>
      </c>
      <c r="G45" s="34">
        <f t="shared" si="7"/>
        <v>0</v>
      </c>
    </row>
    <row r="46" spans="2:7" x14ac:dyDescent="0.2">
      <c r="B46" s="290"/>
      <c r="C46" s="285"/>
      <c r="D46" s="221" t="str">
        <f>'Scope 1'!B45</f>
        <v>Diesel van Class I (up to 1.305 tonnes)</v>
      </c>
      <c r="E46" s="209">
        <f>IF('Scope 1'!G45="Enter Consumption Figure",0,'Scope 1'!G45)</f>
        <v>0</v>
      </c>
      <c r="F46" s="38">
        <f t="shared" si="6"/>
        <v>0</v>
      </c>
      <c r="G46" s="34">
        <f t="shared" si="7"/>
        <v>0</v>
      </c>
    </row>
    <row r="47" spans="2:7" x14ac:dyDescent="0.2">
      <c r="B47" s="290"/>
      <c r="C47" s="285"/>
      <c r="D47" s="221" t="str">
        <f>'Scope 1'!B46</f>
        <v>Diesel van Class II (1.305 to 1.74 tonnes)</v>
      </c>
      <c r="E47" s="209">
        <f>IF('Scope 1'!G46="Enter Consumption Figure",0,'Scope 1'!G46)</f>
        <v>0</v>
      </c>
      <c r="F47" s="38">
        <f t="shared" si="6"/>
        <v>0</v>
      </c>
      <c r="G47" s="34">
        <f t="shared" si="7"/>
        <v>0</v>
      </c>
    </row>
    <row r="48" spans="2:7" x14ac:dyDescent="0.2">
      <c r="B48" s="290"/>
      <c r="C48" s="285"/>
      <c r="D48" s="221" t="str">
        <f>'Scope 1'!B47</f>
        <v>Diesel van Class III (1.74 to 3.5 tonnes)</v>
      </c>
      <c r="E48" s="209">
        <f>IF('Scope 1'!G47="Enter Consumption Figure",0,'Scope 1'!G47)</f>
        <v>0</v>
      </c>
      <c r="F48" s="38">
        <f t="shared" si="6"/>
        <v>0</v>
      </c>
      <c r="G48" s="34">
        <f t="shared" si="7"/>
        <v>0</v>
      </c>
    </row>
    <row r="49" spans="2:7" x14ac:dyDescent="0.2">
      <c r="B49" s="290"/>
      <c r="C49" s="285"/>
      <c r="D49" s="221" t="str">
        <f>'Scope 1'!B48</f>
        <v>Diesel 4x4</v>
      </c>
      <c r="E49" s="209">
        <f>IF('Scope 1'!G48="Enter Consumption Figure",0,'Scope 1'!G48)</f>
        <v>0</v>
      </c>
      <c r="F49" s="38">
        <f t="shared" si="6"/>
        <v>0</v>
      </c>
      <c r="G49" s="34">
        <f t="shared" si="7"/>
        <v>0</v>
      </c>
    </row>
    <row r="50" spans="2:7" x14ac:dyDescent="0.2">
      <c r="B50" s="290"/>
      <c r="C50" s="285"/>
      <c r="D50" s="221" t="str">
        <f>'Scope 1'!B49</f>
        <v>Minibus - Diesel</v>
      </c>
      <c r="E50" s="209">
        <f>IF('Scope 1'!G49="Enter Consumption Figure",0,'Scope 1'!G49)</f>
        <v>0</v>
      </c>
      <c r="F50" s="38">
        <f t="shared" si="6"/>
        <v>0</v>
      </c>
      <c r="G50" s="34">
        <f t="shared" si="7"/>
        <v>0</v>
      </c>
    </row>
    <row r="51" spans="2:7" x14ac:dyDescent="0.2">
      <c r="B51" s="290"/>
      <c r="C51" s="285"/>
      <c r="D51" s="221" t="str">
        <f>'Scope 1'!B50</f>
        <v>Small Petrol Cars  ≤ 1.4 litre</v>
      </c>
      <c r="E51" s="209">
        <f>IF('Scope 1'!G50="Enter Consumption Figure",0,'Scope 1'!G50)</f>
        <v>0</v>
      </c>
      <c r="F51" s="38">
        <f t="shared" si="6"/>
        <v>0</v>
      </c>
      <c r="G51" s="34">
        <f t="shared" si="7"/>
        <v>0</v>
      </c>
    </row>
    <row r="52" spans="2:7" x14ac:dyDescent="0.2">
      <c r="B52" s="290"/>
      <c r="C52" s="285"/>
      <c r="D52" s="221" t="str">
        <f>'Scope 1'!B51</f>
        <v>Medium Petrol Car 1.4 - 2.0 litre</v>
      </c>
      <c r="E52" s="209">
        <f>IF('Scope 1'!G51="Enter Consumption Figure",0,'Scope 1'!G51)</f>
        <v>0</v>
      </c>
      <c r="F52" s="38">
        <f t="shared" si="6"/>
        <v>0</v>
      </c>
      <c r="G52" s="34">
        <f t="shared" si="7"/>
        <v>0</v>
      </c>
    </row>
    <row r="53" spans="2:7" x14ac:dyDescent="0.2">
      <c r="B53" s="290"/>
      <c r="C53" s="285"/>
      <c r="D53" s="221" t="str">
        <f>'Scope 1'!B52</f>
        <v>Large Petrol Car &gt; 2.0 litre</v>
      </c>
      <c r="E53" s="209">
        <f>IF('Scope 1'!G52="Enter Consumption Figure",0,'Scope 1'!G52)</f>
        <v>0</v>
      </c>
      <c r="F53" s="38">
        <f t="shared" si="6"/>
        <v>0</v>
      </c>
      <c r="G53" s="34">
        <f t="shared" si="7"/>
        <v>0</v>
      </c>
    </row>
    <row r="54" spans="2:7" x14ac:dyDescent="0.2">
      <c r="B54" s="290"/>
      <c r="C54" s="285"/>
      <c r="D54" s="221" t="str">
        <f>'Scope 1'!B53</f>
        <v>Small Hybrid Car - Petrol</v>
      </c>
      <c r="E54" s="209">
        <f>IF('Scope 1'!G53="Enter Consumption Figure",0,'Scope 1'!G53)</f>
        <v>0</v>
      </c>
      <c r="F54" s="38">
        <f t="shared" ref="F54:F58" si="8">IFERROR((E54/$D$13),0)</f>
        <v>0</v>
      </c>
      <c r="G54" s="34">
        <f t="shared" si="7"/>
        <v>0</v>
      </c>
    </row>
    <row r="55" spans="2:7" x14ac:dyDescent="0.2">
      <c r="B55" s="290"/>
      <c r="C55" s="285"/>
      <c r="D55" s="221" t="str">
        <f>'Scope 1'!B54</f>
        <v>Medium Hybrid Car - Petrol</v>
      </c>
      <c r="E55" s="209">
        <f>IF('Scope 1'!G54="Enter Consumption Figure",0,'Scope 1'!G54)</f>
        <v>0</v>
      </c>
      <c r="F55" s="38">
        <f t="shared" si="8"/>
        <v>0</v>
      </c>
      <c r="G55" s="34">
        <f t="shared" si="7"/>
        <v>0</v>
      </c>
    </row>
    <row r="56" spans="2:7" x14ac:dyDescent="0.2">
      <c r="B56" s="290"/>
      <c r="C56" s="285"/>
      <c r="D56" s="221" t="str">
        <f>'Scope 1'!B55</f>
        <v>Large Hybrid Car - Petrol</v>
      </c>
      <c r="E56" s="209">
        <f>IF('Scope 1'!G55="Enter Consumption Figure",0,'Scope 1'!G55)</f>
        <v>0</v>
      </c>
      <c r="F56" s="38">
        <f t="shared" si="8"/>
        <v>0</v>
      </c>
      <c r="G56" s="34">
        <f t="shared" si="7"/>
        <v>0</v>
      </c>
    </row>
    <row r="57" spans="2:7" x14ac:dyDescent="0.2">
      <c r="B57" s="290"/>
      <c r="C57" s="285"/>
      <c r="D57" s="221" t="str">
        <f>'Scope 1'!B56</f>
        <v>Electric Vehicle (Average Sized Car)</v>
      </c>
      <c r="E57" s="209">
        <f>IF('Scope 1'!G56="Enter Consumption Figure",0,'Scope 1'!G56)</f>
        <v>0</v>
      </c>
      <c r="F57" s="38">
        <f t="shared" si="8"/>
        <v>0</v>
      </c>
      <c r="G57" s="34">
        <f t="shared" si="7"/>
        <v>0</v>
      </c>
    </row>
    <row r="58" spans="2:7" x14ac:dyDescent="0.2">
      <c r="B58" s="290"/>
      <c r="C58" s="285"/>
      <c r="D58" s="221" t="str">
        <f>'Scope 1'!B57</f>
        <v>Average Medium Car (Unknown Fuel)</v>
      </c>
      <c r="E58" s="209">
        <f>IF('Scope 1'!G57="Enter Consumption Figure",0,'Scope 1'!G57)</f>
        <v>0</v>
      </c>
      <c r="F58" s="38">
        <f t="shared" si="8"/>
        <v>0</v>
      </c>
      <c r="G58" s="34">
        <f t="shared" si="7"/>
        <v>0</v>
      </c>
    </row>
    <row r="59" spans="2:7" x14ac:dyDescent="0.2">
      <c r="B59" s="290"/>
      <c r="C59" s="285"/>
      <c r="D59" s="221" t="str">
        <f>'Scope 1'!B58</f>
        <v>Rigid HGV (&gt;3.5 - 7.5 tonnes)</v>
      </c>
      <c r="E59" s="209">
        <f>IF('Scope 1'!G58="Enter Consumption Figure",0,'Scope 1'!G58)</f>
        <v>0</v>
      </c>
      <c r="F59" s="38">
        <f t="shared" ref="F59:F68" si="9">IFERROR((E59/$D$13),0)</f>
        <v>0</v>
      </c>
      <c r="G59" s="34">
        <f t="shared" si="7"/>
        <v>0</v>
      </c>
    </row>
    <row r="60" spans="2:7" x14ac:dyDescent="0.2">
      <c r="B60" s="290"/>
      <c r="C60" s="285"/>
      <c r="D60" s="221" t="str">
        <f>'Scope 1'!B59</f>
        <v>Rigid HGV (&gt;7.5 tonnes-17 tonnes)</v>
      </c>
      <c r="E60" s="209">
        <f>IF('Scope 1'!G59="Enter Consumption Figure",0,'Scope 1'!G59)</f>
        <v>0</v>
      </c>
      <c r="F60" s="38">
        <f t="shared" si="9"/>
        <v>0</v>
      </c>
      <c r="G60" s="34">
        <f t="shared" si="7"/>
        <v>0</v>
      </c>
    </row>
    <row r="61" spans="2:7" x14ac:dyDescent="0.2">
      <c r="B61" s="290"/>
      <c r="C61" s="285"/>
      <c r="D61" s="221" t="str">
        <f>'Scope 1'!B60</f>
        <v>Rigid HGV (&gt;17 tonnes)</v>
      </c>
      <c r="E61" s="209">
        <f>IF('Scope 1'!G60="Enter Consumption Figure",0,'Scope 1'!G60)</f>
        <v>0</v>
      </c>
      <c r="F61" s="38">
        <f t="shared" si="9"/>
        <v>0</v>
      </c>
      <c r="G61" s="34">
        <f t="shared" si="7"/>
        <v>0</v>
      </c>
    </row>
    <row r="62" spans="2:7" x14ac:dyDescent="0.2">
      <c r="B62" s="290"/>
      <c r="C62" s="285"/>
      <c r="D62" s="221" t="str">
        <f>'Scope 1'!B61</f>
        <v>All Rigid HGVs</v>
      </c>
      <c r="E62" s="209">
        <f>IF('Scope 1'!G61="Enter Consumption Figure",0,'Scope 1'!G61)</f>
        <v>0</v>
      </c>
      <c r="F62" s="38">
        <f t="shared" si="9"/>
        <v>0</v>
      </c>
      <c r="G62" s="34">
        <f t="shared" si="7"/>
        <v>0</v>
      </c>
    </row>
    <row r="63" spans="2:7" x14ac:dyDescent="0.2">
      <c r="B63" s="290"/>
      <c r="C63" s="285"/>
      <c r="D63" s="221" t="str">
        <f>'Scope 1'!B62</f>
        <v>Articulated HGV (&gt;3.5 - 33t)</v>
      </c>
      <c r="E63" s="209">
        <f>IF('Scope 1'!G62="Enter Consumption Figure",0,'Scope 1'!G62)</f>
        <v>0</v>
      </c>
      <c r="F63" s="38">
        <f t="shared" si="9"/>
        <v>0</v>
      </c>
      <c r="G63" s="34">
        <f t="shared" si="7"/>
        <v>0</v>
      </c>
    </row>
    <row r="64" spans="2:7" x14ac:dyDescent="0.2">
      <c r="B64" s="290"/>
      <c r="C64" s="285"/>
      <c r="D64" s="221" t="str">
        <f>'Scope 1'!B63</f>
        <v>Articulated HGV (&gt;33t)</v>
      </c>
      <c r="E64" s="209">
        <f>IF('Scope 1'!G63="Enter Consumption Figure",0,'Scope 1'!G63)</f>
        <v>0</v>
      </c>
      <c r="F64" s="38">
        <f t="shared" si="9"/>
        <v>0</v>
      </c>
      <c r="G64" s="34">
        <f t="shared" si="7"/>
        <v>0</v>
      </c>
    </row>
    <row r="65" spans="2:7" x14ac:dyDescent="0.2">
      <c r="B65" s="290"/>
      <c r="C65" s="285"/>
      <c r="D65" s="221" t="str">
        <f>'Scope 1'!B64</f>
        <v>All Articulated HGVs</v>
      </c>
      <c r="E65" s="209">
        <f>IF('Scope 1'!G64="Enter Consumption Figure",0,'Scope 1'!G64)</f>
        <v>0</v>
      </c>
      <c r="F65" s="38">
        <f t="shared" si="9"/>
        <v>0</v>
      </c>
      <c r="G65" s="34">
        <f t="shared" si="7"/>
        <v>0</v>
      </c>
    </row>
    <row r="66" spans="2:7" x14ac:dyDescent="0.2">
      <c r="B66" s="290"/>
      <c r="C66" s="285"/>
      <c r="D66" s="221" t="str">
        <f>'Scope 1'!B65</f>
        <v>All HGVs</v>
      </c>
      <c r="E66" s="209">
        <f>IF('Scope 1'!G65="Enter Consumption Figure",0,'Scope 1'!G65)</f>
        <v>0</v>
      </c>
      <c r="F66" s="38">
        <f t="shared" si="9"/>
        <v>0</v>
      </c>
      <c r="G66" s="34">
        <f t="shared" si="7"/>
        <v>0</v>
      </c>
    </row>
    <row r="67" spans="2:7" x14ac:dyDescent="0.2">
      <c r="B67" s="290"/>
      <c r="C67" s="285"/>
      <c r="D67" s="221" t="str">
        <f>'Scope 1'!B66</f>
        <v>Other Vehicles - Diesel</v>
      </c>
      <c r="E67" s="209">
        <f>IF('Scope 1'!G66="Enter Consumption Figure",0,'Scope 1'!G66)</f>
        <v>196.26924713270003</v>
      </c>
      <c r="F67" s="38">
        <f t="shared" si="9"/>
        <v>0.72728123020347091</v>
      </c>
      <c r="G67" s="34">
        <f t="shared" si="7"/>
        <v>1.1663535121805912E-2</v>
      </c>
    </row>
    <row r="68" spans="2:7" ht="15" thickBot="1" x14ac:dyDescent="0.25">
      <c r="B68" s="291"/>
      <c r="C68" s="286"/>
      <c r="D68" s="222" t="str">
        <f>'Scope 1'!B67</f>
        <v>Other Vehicles - Petrol</v>
      </c>
      <c r="E68" s="215">
        <f>IF('Scope 1'!G67="Enter Consumption Figure",0,'Scope 1'!G67)</f>
        <v>73.597812516000005</v>
      </c>
      <c r="F68" s="39">
        <f t="shared" si="9"/>
        <v>0.27271876979652909</v>
      </c>
      <c r="G68" s="40">
        <f t="shared" si="7"/>
        <v>4.3736381715881898E-3</v>
      </c>
    </row>
    <row r="69" spans="2:7" x14ac:dyDescent="0.2">
      <c r="B69" s="289" t="s">
        <v>50</v>
      </c>
      <c r="C69" s="292" t="str">
        <f>'Scope 2'!$B$15</f>
        <v>Electricity</v>
      </c>
      <c r="D69" s="211" t="str">
        <f>'Scope 2'!B18</f>
        <v xml:space="preserve">Building Use </v>
      </c>
      <c r="E69" s="208">
        <f>IF('Scope 2'!G18="Enter Consumption Figure",0,'Scope 2'!G18)</f>
        <v>6841.9989032929207</v>
      </c>
      <c r="F69" s="36">
        <f>IFERROR((E69/$D$14),0)</f>
        <v>0.88681137911129637</v>
      </c>
      <c r="G69" s="37">
        <f t="shared" ref="G69:G70" si="10">IFERROR((E69/D65),0)</f>
        <v>0</v>
      </c>
    </row>
    <row r="70" spans="2:7" ht="15" thickBot="1" x14ac:dyDescent="0.25">
      <c r="B70" s="290"/>
      <c r="C70" s="293" t="str">
        <f>'Scope 2'!$B$15</f>
        <v>Electricity</v>
      </c>
      <c r="D70" s="213" t="str">
        <f>'Scope 2'!B19</f>
        <v>Streetlighting</v>
      </c>
      <c r="E70" s="215">
        <f>IF('Scope 2'!G19="Enter Consumption Figure",0,'Scope 2'!G19)</f>
        <v>861.11419672799991</v>
      </c>
      <c r="F70" s="39">
        <f>IFERROR((E70/$D$14),0)</f>
        <v>0.11161151575238427</v>
      </c>
      <c r="G70" s="40">
        <f t="shared" si="10"/>
        <v>0</v>
      </c>
    </row>
    <row r="71" spans="2:7" x14ac:dyDescent="0.2">
      <c r="B71" s="290"/>
      <c r="C71" s="298" t="s">
        <v>628</v>
      </c>
      <c r="D71" s="229" t="s">
        <v>620</v>
      </c>
      <c r="E71" s="208">
        <f>IF('Scope 2'!G24="Enter Consumption Figure",0,'Scope 2'!G24)</f>
        <v>0</v>
      </c>
      <c r="F71" s="36">
        <f>IFERROR((E71/$D$14),0)</f>
        <v>0</v>
      </c>
      <c r="G71" s="34">
        <f t="shared" ref="G71:G159" si="11">IFERROR((E71/D$22),0)</f>
        <v>0</v>
      </c>
    </row>
    <row r="72" spans="2:7" x14ac:dyDescent="0.2">
      <c r="B72" s="290"/>
      <c r="C72" s="296"/>
      <c r="D72" s="223" t="s">
        <v>621</v>
      </c>
      <c r="E72" s="209">
        <f>IF('Scope 2'!G25="Enter Consumption Figure",0,'Scope 2'!G25)</f>
        <v>0</v>
      </c>
      <c r="F72" s="38">
        <f t="shared" ref="F72:F82" si="12">IFERROR((E72/$D$14),0)</f>
        <v>0</v>
      </c>
      <c r="G72" s="34">
        <f t="shared" si="11"/>
        <v>0</v>
      </c>
    </row>
    <row r="73" spans="2:7" x14ac:dyDescent="0.2">
      <c r="B73" s="290"/>
      <c r="C73" s="296"/>
      <c r="D73" s="223" t="s">
        <v>622</v>
      </c>
      <c r="E73" s="209">
        <f>IF('Scope 2'!G26="Enter Consumption Figure",0,'Scope 2'!G26)</f>
        <v>0</v>
      </c>
      <c r="F73" s="38">
        <f t="shared" si="12"/>
        <v>0</v>
      </c>
      <c r="G73" s="34">
        <f t="shared" si="11"/>
        <v>0</v>
      </c>
    </row>
    <row r="74" spans="2:7" x14ac:dyDescent="0.2">
      <c r="B74" s="290"/>
      <c r="C74" s="296"/>
      <c r="D74" s="223" t="s">
        <v>623</v>
      </c>
      <c r="E74" s="209">
        <f>IF('Scope 2'!G27="Enter Consumption Figure",0,'Scope 2'!G27)</f>
        <v>2.6505439000000002</v>
      </c>
      <c r="F74" s="38">
        <f t="shared" si="12"/>
        <v>3.4354470449019929E-4</v>
      </c>
      <c r="G74" s="34">
        <f t="shared" si="11"/>
        <v>1.5751174634422786E-4</v>
      </c>
    </row>
    <row r="75" spans="2:7" x14ac:dyDescent="0.2">
      <c r="B75" s="290"/>
      <c r="C75" s="296"/>
      <c r="D75" s="223" t="s">
        <v>624</v>
      </c>
      <c r="E75" s="209">
        <f>IF('Scope 2'!G28="Enter Consumption Figure",0,'Scope 2'!G28)</f>
        <v>0</v>
      </c>
      <c r="F75" s="38">
        <f t="shared" si="12"/>
        <v>0</v>
      </c>
      <c r="G75" s="34">
        <f t="shared" si="11"/>
        <v>0</v>
      </c>
    </row>
    <row r="76" spans="2:7" x14ac:dyDescent="0.2">
      <c r="B76" s="290"/>
      <c r="C76" s="296"/>
      <c r="D76" s="223" t="s">
        <v>625</v>
      </c>
      <c r="E76" s="209">
        <f>IF('Scope 2'!G29="Enter Consumption Figure",0,'Scope 2'!G29)</f>
        <v>0</v>
      </c>
      <c r="F76" s="38">
        <f t="shared" si="12"/>
        <v>0</v>
      </c>
      <c r="G76" s="34">
        <f t="shared" si="11"/>
        <v>0</v>
      </c>
    </row>
    <row r="77" spans="2:7" x14ac:dyDescent="0.2">
      <c r="B77" s="290"/>
      <c r="C77" s="296"/>
      <c r="D77" s="223" t="s">
        <v>626</v>
      </c>
      <c r="E77" s="209">
        <f>IF('Scope 2'!G30="Enter Consumption Figure",0,'Scope 2'!G30)</f>
        <v>0</v>
      </c>
      <c r="F77" s="38">
        <f t="shared" si="12"/>
        <v>0</v>
      </c>
      <c r="G77" s="34">
        <f t="shared" si="11"/>
        <v>0</v>
      </c>
    </row>
    <row r="78" spans="2:7" ht="15" thickBot="1" x14ac:dyDescent="0.25">
      <c r="B78" s="290"/>
      <c r="C78" s="297"/>
      <c r="D78" s="224" t="s">
        <v>627</v>
      </c>
      <c r="E78" s="210">
        <f>IF('Scope 2'!G31="Enter Consumption Figure",0,'Scope 2'!G31)</f>
        <v>3.4894310099999992</v>
      </c>
      <c r="F78" s="198">
        <f t="shared" si="12"/>
        <v>4.5227530288005695E-4</v>
      </c>
      <c r="G78" s="199">
        <f t="shared" si="11"/>
        <v>2.0736361775890703E-4</v>
      </c>
    </row>
    <row r="79" spans="2:7" x14ac:dyDescent="0.2">
      <c r="B79" s="290"/>
      <c r="C79" s="296" t="s">
        <v>629</v>
      </c>
      <c r="D79" s="229" t="s">
        <v>630</v>
      </c>
      <c r="E79" s="208">
        <f>IF('Scope 2'!G36="Enter Consumption Figure",0,'Scope 2'!G36)</f>
        <v>3.0001964999999999</v>
      </c>
      <c r="F79" s="216">
        <f>IFERROR((E79/$D$14),0)</f>
        <v>3.8886419500730782E-4</v>
      </c>
      <c r="G79" s="37">
        <f t="shared" si="11"/>
        <v>1.7829027094810244E-4</v>
      </c>
    </row>
    <row r="80" spans="2:7" x14ac:dyDescent="0.2">
      <c r="B80" s="290"/>
      <c r="C80" s="296"/>
      <c r="D80" s="223" t="s">
        <v>631</v>
      </c>
      <c r="E80" s="209">
        <f>IF('Scope 2'!G37="Enter Consumption Figure",0,'Scope 2'!G37)</f>
        <v>3.0276377399999999</v>
      </c>
      <c r="F80" s="217">
        <f t="shared" si="12"/>
        <v>3.9242093394177503E-4</v>
      </c>
      <c r="G80" s="34">
        <f t="shared" si="11"/>
        <v>1.7992099950696583E-4</v>
      </c>
    </row>
    <row r="81" spans="2:7" x14ac:dyDescent="0.2">
      <c r="B81" s="290"/>
      <c r="C81" s="296"/>
      <c r="D81" s="223" t="s">
        <v>632</v>
      </c>
      <c r="E81" s="209">
        <f>IF('Scope 2'!G38="Enter Consumption Figure",0,'Scope 2'!G38)</f>
        <v>0</v>
      </c>
      <c r="F81" s="217">
        <f t="shared" si="12"/>
        <v>0</v>
      </c>
      <c r="G81" s="34">
        <f t="shared" si="11"/>
        <v>0</v>
      </c>
    </row>
    <row r="82" spans="2:7" ht="15" thickBot="1" x14ac:dyDescent="0.25">
      <c r="B82" s="291"/>
      <c r="C82" s="297"/>
      <c r="D82" s="230" t="s">
        <v>633</v>
      </c>
      <c r="E82" s="215">
        <f>IF('Scope 2'!G39="Enter Consumption Figure",0,'Scope 2'!G39)</f>
        <v>0</v>
      </c>
      <c r="F82" s="218">
        <f t="shared" si="12"/>
        <v>0</v>
      </c>
      <c r="G82" s="40">
        <f t="shared" si="11"/>
        <v>0</v>
      </c>
    </row>
    <row r="83" spans="2:7" x14ac:dyDescent="0.2">
      <c r="B83" s="289" t="s">
        <v>46</v>
      </c>
      <c r="C83" s="281" t="str">
        <f>'Scope 3'!B15</f>
        <v>Staff Travel</v>
      </c>
      <c r="D83" s="205" t="str">
        <f>'Scope 3'!B18</f>
        <v>Small Petrol Motorbike (Mopeds/Scooters up to 125cc)</v>
      </c>
      <c r="E83" s="219">
        <f>IF('Scope 3'!G18="Enter Consumption Figure",0,'Scope 3'!G18)</f>
        <v>0</v>
      </c>
      <c r="F83" s="200">
        <f>IFERROR((E83/$D$15),0)</f>
        <v>0</v>
      </c>
      <c r="G83" s="42">
        <f t="shared" si="11"/>
        <v>0</v>
      </c>
    </row>
    <row r="84" spans="2:7" x14ac:dyDescent="0.2">
      <c r="B84" s="290"/>
      <c r="C84" s="282"/>
      <c r="D84" s="212" t="str">
        <f>'Scope 3'!B19</f>
        <v>Medium Petrol Motorbike (125-500cc)</v>
      </c>
      <c r="E84" s="209">
        <f>IF('Scope 3'!G19="Enter Consumption Figure",0,'Scope 3'!G19)</f>
        <v>0</v>
      </c>
      <c r="F84" s="38">
        <f t="shared" ref="F84:F95" si="13">IFERROR((E84/$D$15),0)</f>
        <v>0</v>
      </c>
      <c r="G84" s="34">
        <f t="shared" si="11"/>
        <v>0</v>
      </c>
    </row>
    <row r="85" spans="2:7" x14ac:dyDescent="0.2">
      <c r="B85" s="290"/>
      <c r="C85" s="282"/>
      <c r="D85" s="212" t="str">
        <f>'Scope 3'!B20</f>
        <v>Average Medium Car (unknown fuel)</v>
      </c>
      <c r="E85" s="209">
        <f>IF('Scope 3'!G20="Enter Consumption Figure",0,'Scope 3'!G20)</f>
        <v>0</v>
      </c>
      <c r="F85" s="38">
        <f t="shared" si="13"/>
        <v>0</v>
      </c>
      <c r="G85" s="34">
        <f t="shared" si="11"/>
        <v>0</v>
      </c>
    </row>
    <row r="86" spans="2:7" x14ac:dyDescent="0.2">
      <c r="B86" s="290"/>
      <c r="C86" s="282"/>
      <c r="D86" s="212" t="str">
        <f>'Scope 3'!B21</f>
        <v>Small Petrol Cars  ≤ 1.4 litre</v>
      </c>
      <c r="E86" s="209">
        <f>IF('Scope 3'!G21="Enter Consumption Figure",0,'Scope 3'!G21)</f>
        <v>0</v>
      </c>
      <c r="F86" s="38">
        <f t="shared" si="13"/>
        <v>0</v>
      </c>
      <c r="G86" s="34">
        <f t="shared" si="11"/>
        <v>0</v>
      </c>
    </row>
    <row r="87" spans="2:7" x14ac:dyDescent="0.2">
      <c r="B87" s="290"/>
      <c r="C87" s="282"/>
      <c r="D87" s="212" t="str">
        <f>'Scope 3'!B22</f>
        <v>Medium Petrol Car 1.4 - 2.0 litre</v>
      </c>
      <c r="E87" s="209">
        <f>IF('Scope 3'!G22="Enter Consumption Figure",0,'Scope 3'!G22)</f>
        <v>0</v>
      </c>
      <c r="F87" s="38">
        <f t="shared" si="13"/>
        <v>0</v>
      </c>
      <c r="G87" s="34">
        <f t="shared" si="11"/>
        <v>0</v>
      </c>
    </row>
    <row r="88" spans="2:7" x14ac:dyDescent="0.2">
      <c r="B88" s="290"/>
      <c r="C88" s="282"/>
      <c r="D88" s="212" t="str">
        <f>'Scope 3'!B23</f>
        <v>Large Petrol Car &gt; 2.0 litre</v>
      </c>
      <c r="E88" s="209">
        <f>IF('Scope 3'!G23="Enter Consumption Figure",0,'Scope 3'!G23)</f>
        <v>0</v>
      </c>
      <c r="F88" s="38">
        <f t="shared" si="13"/>
        <v>0</v>
      </c>
      <c r="G88" s="34">
        <f t="shared" si="11"/>
        <v>0</v>
      </c>
    </row>
    <row r="89" spans="2:7" x14ac:dyDescent="0.2">
      <c r="B89" s="290"/>
      <c r="C89" s="282"/>
      <c r="D89" s="212" t="str">
        <f>'Scope 3'!B24</f>
        <v>Small Diesel Car ≤ 1.7 litre</v>
      </c>
      <c r="E89" s="209">
        <f>IF('Scope 3'!G24="Enter Consumption Figure",0,'Scope 3'!G24)</f>
        <v>0</v>
      </c>
      <c r="F89" s="38">
        <f t="shared" si="13"/>
        <v>0</v>
      </c>
      <c r="G89" s="34">
        <f t="shared" si="11"/>
        <v>0</v>
      </c>
    </row>
    <row r="90" spans="2:7" x14ac:dyDescent="0.2">
      <c r="B90" s="290"/>
      <c r="C90" s="282"/>
      <c r="D90" s="212" t="str">
        <f>'Scope 3'!B25</f>
        <v>Medium Diesel Car 1.7 - 2.0 litre</v>
      </c>
      <c r="E90" s="209">
        <f>IF('Scope 3'!G25="Enter Consumption Figure",0,'Scope 3'!G25)</f>
        <v>0</v>
      </c>
      <c r="F90" s="38">
        <f t="shared" si="13"/>
        <v>0</v>
      </c>
      <c r="G90" s="34">
        <f t="shared" si="11"/>
        <v>0</v>
      </c>
    </row>
    <row r="91" spans="2:7" x14ac:dyDescent="0.2">
      <c r="B91" s="290"/>
      <c r="C91" s="282"/>
      <c r="D91" s="212" t="str">
        <f>'Scope 3'!B26</f>
        <v>Large Diesel Car &gt; 2.0 litre</v>
      </c>
      <c r="E91" s="209">
        <f>IF('Scope 3'!G26="Enter Consumption Figure",0,'Scope 3'!G26)</f>
        <v>0</v>
      </c>
      <c r="F91" s="38">
        <f t="shared" si="13"/>
        <v>0</v>
      </c>
      <c r="G91" s="34">
        <f t="shared" si="11"/>
        <v>0</v>
      </c>
    </row>
    <row r="92" spans="2:7" x14ac:dyDescent="0.2">
      <c r="B92" s="290"/>
      <c r="C92" s="282"/>
      <c r="D92" s="212" t="str">
        <f>'Scope 3'!B27</f>
        <v>Small Hybrid Car - Petrol</v>
      </c>
      <c r="E92" s="209">
        <f>IF('Scope 3'!G27="Enter Consumption Figure",0,'Scope 3'!G27)</f>
        <v>0</v>
      </c>
      <c r="F92" s="38">
        <f t="shared" si="13"/>
        <v>0</v>
      </c>
      <c r="G92" s="34">
        <f t="shared" si="11"/>
        <v>0</v>
      </c>
    </row>
    <row r="93" spans="2:7" x14ac:dyDescent="0.2">
      <c r="B93" s="290"/>
      <c r="C93" s="282"/>
      <c r="D93" s="212" t="str">
        <f>'Scope 3'!B28</f>
        <v>Medium Hybrid Car - Petrol</v>
      </c>
      <c r="E93" s="209">
        <f>IF('Scope 3'!G28="Enter Consumption Figure",0,'Scope 3'!G28)</f>
        <v>0</v>
      </c>
      <c r="F93" s="38">
        <f t="shared" si="13"/>
        <v>0</v>
      </c>
      <c r="G93" s="34">
        <f t="shared" si="11"/>
        <v>0</v>
      </c>
    </row>
    <row r="94" spans="2:7" x14ac:dyDescent="0.2">
      <c r="B94" s="290"/>
      <c r="C94" s="282"/>
      <c r="D94" s="212" t="str">
        <f>'Scope 3'!B29</f>
        <v>Large Hybrid Car - Petrol</v>
      </c>
      <c r="E94" s="209">
        <f>IF('Scope 3'!G29="Enter Consumption Figure",0,'Scope 3'!G29)</f>
        <v>0</v>
      </c>
      <c r="F94" s="38">
        <f t="shared" si="13"/>
        <v>0</v>
      </c>
      <c r="G94" s="34">
        <f t="shared" si="11"/>
        <v>0</v>
      </c>
    </row>
    <row r="95" spans="2:7" ht="15" thickBot="1" x14ac:dyDescent="0.25">
      <c r="B95" s="290"/>
      <c r="C95" s="283"/>
      <c r="D95" s="213" t="str">
        <f>'Scope 3'!B30</f>
        <v>Electric Vehicle (Average Sized Car)</v>
      </c>
      <c r="E95" s="215">
        <f>IF('Scope 3'!G30="Enter Consumption Figure",0,'Scope 3'!G30)</f>
        <v>0</v>
      </c>
      <c r="F95" s="39">
        <f t="shared" si="13"/>
        <v>0</v>
      </c>
      <c r="G95" s="40">
        <f t="shared" si="11"/>
        <v>0</v>
      </c>
    </row>
    <row r="96" spans="2:7" x14ac:dyDescent="0.2">
      <c r="B96" s="290"/>
      <c r="C96" s="294" t="str">
        <f>'Scope 3'!$B$32</f>
        <v>Outsourced Fleet</v>
      </c>
      <c r="D96" s="211" t="str">
        <f>'Scope 3'!B35</f>
        <v>Small diesel car ≤ 1.7 litre</v>
      </c>
      <c r="E96" s="214">
        <f>IF('Scope 3'!G35="Enter Consumption Figure",0,'Scope 3'!G35)</f>
        <v>0</v>
      </c>
      <c r="F96" s="41">
        <f t="shared" ref="F96:F122" si="14">IFERROR((E96/$D$16),0)</f>
        <v>0</v>
      </c>
      <c r="G96" s="34">
        <f t="shared" si="11"/>
        <v>0</v>
      </c>
    </row>
    <row r="97" spans="2:10" x14ac:dyDescent="0.2">
      <c r="B97" s="290"/>
      <c r="C97" s="294"/>
      <c r="D97" s="212" t="str">
        <f>'Scope 3'!B36</f>
        <v>Medium diesel car, 1.7 - 2.0 litre</v>
      </c>
      <c r="E97" s="209">
        <f>IF('Scope 3'!G36="Enter Consumption Figure",0,'Scope 3'!G36)</f>
        <v>0</v>
      </c>
      <c r="F97" s="38">
        <f t="shared" ref="F97:F110" si="15">IFERROR((E97/$D$16),0)</f>
        <v>0</v>
      </c>
      <c r="G97" s="34">
        <f t="shared" si="11"/>
        <v>0</v>
      </c>
    </row>
    <row r="98" spans="2:10" x14ac:dyDescent="0.2">
      <c r="B98" s="290"/>
      <c r="C98" s="294"/>
      <c r="D98" s="212" t="str">
        <f>'Scope 3'!B37</f>
        <v>Large Diesel Car &gt; 2.0 litre</v>
      </c>
      <c r="E98" s="209">
        <f>IF('Scope 3'!G37="Enter Consumption Figure",0,'Scope 3'!G37)</f>
        <v>0</v>
      </c>
      <c r="F98" s="38">
        <f t="shared" si="15"/>
        <v>0</v>
      </c>
      <c r="G98" s="34">
        <f t="shared" si="11"/>
        <v>0</v>
      </c>
    </row>
    <row r="99" spans="2:10" x14ac:dyDescent="0.2">
      <c r="B99" s="290"/>
      <c r="C99" s="294"/>
      <c r="D99" s="212" t="str">
        <f>'Scope 3'!B38</f>
        <v>MPV - Diesel</v>
      </c>
      <c r="E99" s="209">
        <f>IF('Scope 3'!G38="Enter Consumption Figure",0,'Scope 3'!G38)</f>
        <v>0</v>
      </c>
      <c r="F99" s="38">
        <f t="shared" si="15"/>
        <v>0</v>
      </c>
      <c r="G99" s="34">
        <f t="shared" si="11"/>
        <v>0</v>
      </c>
    </row>
    <row r="100" spans="2:10" x14ac:dyDescent="0.2">
      <c r="B100" s="290"/>
      <c r="C100" s="294"/>
      <c r="D100" s="212" t="str">
        <f>'Scope 3'!B39</f>
        <v>Diesel van Class I (up to 1.305 tonnes)</v>
      </c>
      <c r="E100" s="209">
        <f>IF('Scope 3'!G39="Enter Consumption Figure",0,'Scope 3'!G39)</f>
        <v>0</v>
      </c>
      <c r="F100" s="38">
        <f t="shared" si="15"/>
        <v>0</v>
      </c>
      <c r="G100" s="34">
        <f t="shared" si="11"/>
        <v>0</v>
      </c>
    </row>
    <row r="101" spans="2:10" x14ac:dyDescent="0.2">
      <c r="B101" s="290"/>
      <c r="C101" s="294"/>
      <c r="D101" s="212" t="str">
        <f>'Scope 3'!B40</f>
        <v>Diesel van Class II (1.305 to 1.74 tonnes)</v>
      </c>
      <c r="E101" s="209">
        <f>IF('Scope 3'!G40="Enter Consumption Figure",0,'Scope 3'!G40)</f>
        <v>0</v>
      </c>
      <c r="F101" s="38">
        <f t="shared" si="15"/>
        <v>0</v>
      </c>
      <c r="G101" s="34">
        <f t="shared" si="11"/>
        <v>0</v>
      </c>
    </row>
    <row r="102" spans="2:10" x14ac:dyDescent="0.2">
      <c r="B102" s="290"/>
      <c r="C102" s="294"/>
      <c r="D102" s="212" t="str">
        <f>'Scope 3'!B41</f>
        <v>Diesel van Class III (1.74 to 3.5 tonnes)</v>
      </c>
      <c r="E102" s="209">
        <f>IF('Scope 3'!G41="Enter Consumption Figure",0,'Scope 3'!G41)</f>
        <v>0</v>
      </c>
      <c r="F102" s="38">
        <f t="shared" si="15"/>
        <v>0</v>
      </c>
      <c r="G102" s="34">
        <f t="shared" si="11"/>
        <v>0</v>
      </c>
    </row>
    <row r="103" spans="2:10" ht="15" x14ac:dyDescent="0.2">
      <c r="B103" s="290"/>
      <c r="C103" s="294"/>
      <c r="D103" s="212" t="str">
        <f>'Scope 3'!B42</f>
        <v>Diesel 4x4</v>
      </c>
      <c r="E103" s="209">
        <f>IF('Scope 3'!G42="Enter Consumption Figure",0,'Scope 3'!G42)</f>
        <v>0</v>
      </c>
      <c r="F103" s="38">
        <f t="shared" si="15"/>
        <v>0</v>
      </c>
      <c r="G103" s="34">
        <f t="shared" si="11"/>
        <v>0</v>
      </c>
      <c r="H103" s="30"/>
      <c r="I103" s="31"/>
      <c r="J103" s="31"/>
    </row>
    <row r="104" spans="2:10" x14ac:dyDescent="0.2">
      <c r="B104" s="290"/>
      <c r="C104" s="294"/>
      <c r="D104" s="212" t="str">
        <f>'Scope 3'!B43</f>
        <v>Minibus - Diesel</v>
      </c>
      <c r="E104" s="209">
        <f>IF('Scope 3'!G43="Enter Consumption Figure",0,'Scope 3'!G43)</f>
        <v>0</v>
      </c>
      <c r="F104" s="38">
        <f t="shared" si="15"/>
        <v>0</v>
      </c>
      <c r="G104" s="34">
        <f t="shared" si="11"/>
        <v>0</v>
      </c>
      <c r="H104" s="280"/>
      <c r="I104" s="280"/>
      <c r="J104" s="280"/>
    </row>
    <row r="105" spans="2:10" x14ac:dyDescent="0.2">
      <c r="B105" s="290"/>
      <c r="C105" s="294"/>
      <c r="D105" s="212" t="str">
        <f>'Scope 3'!B44</f>
        <v>Small Petrol Cars  ≤ 1.4 litre</v>
      </c>
      <c r="E105" s="209">
        <f>IF('Scope 3'!G44="Enter Consumption Figure",0,'Scope 3'!G44)</f>
        <v>0</v>
      </c>
      <c r="F105" s="38">
        <f t="shared" si="15"/>
        <v>0</v>
      </c>
      <c r="G105" s="34">
        <f t="shared" si="11"/>
        <v>0</v>
      </c>
    </row>
    <row r="106" spans="2:10" x14ac:dyDescent="0.2">
      <c r="B106" s="290"/>
      <c r="C106" s="294"/>
      <c r="D106" s="212" t="str">
        <f>'Scope 3'!B45</f>
        <v>Medium Petrol Car 1.4 - 2.0 litre</v>
      </c>
      <c r="E106" s="209">
        <f>IF('Scope 3'!G45="Enter Consumption Figure",0,'Scope 3'!G45)</f>
        <v>0</v>
      </c>
      <c r="F106" s="38">
        <f t="shared" si="15"/>
        <v>0</v>
      </c>
      <c r="G106" s="34">
        <f t="shared" si="11"/>
        <v>0</v>
      </c>
    </row>
    <row r="107" spans="2:10" x14ac:dyDescent="0.2">
      <c r="B107" s="290"/>
      <c r="C107" s="294"/>
      <c r="D107" s="212" t="str">
        <f>'Scope 3'!B46</f>
        <v>Large Petrol Car &gt; 2.0 litre</v>
      </c>
      <c r="E107" s="209">
        <f>IF('Scope 3'!G46="Enter Consumption Figure",0,'Scope 3'!G46)</f>
        <v>0</v>
      </c>
      <c r="F107" s="38">
        <f t="shared" si="15"/>
        <v>0</v>
      </c>
      <c r="G107" s="34">
        <f t="shared" si="11"/>
        <v>0</v>
      </c>
    </row>
    <row r="108" spans="2:10" x14ac:dyDescent="0.2">
      <c r="B108" s="290"/>
      <c r="C108" s="294"/>
      <c r="D108" s="212" t="str">
        <f>'Scope 3'!B47</f>
        <v>Small Hybrid Car - Petrol</v>
      </c>
      <c r="E108" s="209">
        <f>IF('Scope 3'!G47="Enter Consumption Figure",0,'Scope 3'!G47)</f>
        <v>0</v>
      </c>
      <c r="F108" s="38">
        <f t="shared" si="15"/>
        <v>0</v>
      </c>
      <c r="G108" s="34">
        <f t="shared" si="11"/>
        <v>0</v>
      </c>
    </row>
    <row r="109" spans="2:10" x14ac:dyDescent="0.2">
      <c r="B109" s="290"/>
      <c r="C109" s="294"/>
      <c r="D109" s="212" t="str">
        <f>'Scope 3'!B48</f>
        <v>Medium Hybrid Car - Petrol</v>
      </c>
      <c r="E109" s="209">
        <f>IF('Scope 3'!G48="Enter Consumption Figure",0,'Scope 3'!G48)</f>
        <v>0</v>
      </c>
      <c r="F109" s="38">
        <f t="shared" si="15"/>
        <v>0</v>
      </c>
      <c r="G109" s="34">
        <f t="shared" si="11"/>
        <v>0</v>
      </c>
    </row>
    <row r="110" spans="2:10" x14ac:dyDescent="0.2">
      <c r="B110" s="290"/>
      <c r="C110" s="294"/>
      <c r="D110" s="212" t="str">
        <f>'Scope 3'!B49</f>
        <v>Large Hybrid Car - Petrol</v>
      </c>
      <c r="E110" s="209">
        <f>IF('Scope 3'!G49="Enter Consumption Figure",0,'Scope 3'!G49)</f>
        <v>0</v>
      </c>
      <c r="F110" s="38">
        <f t="shared" si="15"/>
        <v>0</v>
      </c>
      <c r="G110" s="34">
        <f t="shared" si="11"/>
        <v>0</v>
      </c>
    </row>
    <row r="111" spans="2:10" x14ac:dyDescent="0.2">
      <c r="B111" s="290"/>
      <c r="C111" s="295" t="str">
        <f>'Scope 3'!$B$32</f>
        <v>Outsourced Fleet</v>
      </c>
      <c r="D111" s="212" t="str">
        <f>'Scope 3'!B50</f>
        <v>Electric Vehicle (Average Sized Car)</v>
      </c>
      <c r="E111" s="209">
        <f>IF('Scope 3'!G50="Enter Consumption Figure",0,'Scope 3'!G50)</f>
        <v>0</v>
      </c>
      <c r="F111" s="38">
        <f t="shared" si="14"/>
        <v>0</v>
      </c>
      <c r="G111" s="34">
        <f t="shared" si="11"/>
        <v>0</v>
      </c>
    </row>
    <row r="112" spans="2:10" x14ac:dyDescent="0.2">
      <c r="B112" s="290"/>
      <c r="C112" s="295" t="str">
        <f>'Scope 3'!$B$32</f>
        <v>Outsourced Fleet</v>
      </c>
      <c r="D112" s="212" t="str">
        <f>'Scope 3'!B51</f>
        <v>Average Medium Car (Unknown Fuel)</v>
      </c>
      <c r="E112" s="209">
        <f>IF('Scope 3'!G51="Enter Consumption Figure",0,'Scope 3'!G51)</f>
        <v>0</v>
      </c>
      <c r="F112" s="38">
        <f t="shared" si="14"/>
        <v>0</v>
      </c>
      <c r="G112" s="34">
        <f t="shared" si="11"/>
        <v>0</v>
      </c>
    </row>
    <row r="113" spans="2:7" x14ac:dyDescent="0.2">
      <c r="B113" s="290"/>
      <c r="C113" s="295" t="str">
        <f>'Scope 3'!$B$32</f>
        <v>Outsourced Fleet</v>
      </c>
      <c r="D113" s="212" t="str">
        <f>'Scope 3'!B52</f>
        <v>Rigid HGV (&gt;3.5 - 7.5 tonnes)</v>
      </c>
      <c r="E113" s="209">
        <f>IF('Scope 3'!G52="Enter Consumption Figure",0,'Scope 3'!G52)</f>
        <v>0</v>
      </c>
      <c r="F113" s="38">
        <f t="shared" si="14"/>
        <v>0</v>
      </c>
      <c r="G113" s="34">
        <f t="shared" si="11"/>
        <v>0</v>
      </c>
    </row>
    <row r="114" spans="2:7" x14ac:dyDescent="0.2">
      <c r="B114" s="290"/>
      <c r="C114" s="295" t="str">
        <f>'Scope 3'!$B$32</f>
        <v>Outsourced Fleet</v>
      </c>
      <c r="D114" s="212" t="str">
        <f>'Scope 3'!B53</f>
        <v>Rigid HGV (&gt;7.5 tonnes-17 tonnes)</v>
      </c>
      <c r="E114" s="209">
        <f>IF('Scope 3'!G53="Enter Consumption Figure",0,'Scope 3'!G53)</f>
        <v>0</v>
      </c>
      <c r="F114" s="38">
        <f t="shared" si="14"/>
        <v>0</v>
      </c>
      <c r="G114" s="34">
        <f t="shared" si="11"/>
        <v>0</v>
      </c>
    </row>
    <row r="115" spans="2:7" x14ac:dyDescent="0.2">
      <c r="B115" s="290"/>
      <c r="C115" s="295" t="str">
        <f>'Scope 3'!$B$32</f>
        <v>Outsourced Fleet</v>
      </c>
      <c r="D115" s="212" t="str">
        <f>'Scope 3'!B54</f>
        <v>Rigid HGV (&gt;17 tonnes)</v>
      </c>
      <c r="E115" s="209">
        <f>IF('Scope 3'!G54="Enter Consumption Figure",0,'Scope 3'!G54)</f>
        <v>0</v>
      </c>
      <c r="F115" s="38">
        <f t="shared" si="14"/>
        <v>0</v>
      </c>
      <c r="G115" s="34">
        <f t="shared" si="11"/>
        <v>0</v>
      </c>
    </row>
    <row r="116" spans="2:7" x14ac:dyDescent="0.2">
      <c r="B116" s="290"/>
      <c r="C116" s="295" t="str">
        <f>'Scope 3'!$B$32</f>
        <v>Outsourced Fleet</v>
      </c>
      <c r="D116" s="212" t="str">
        <f>'Scope 3'!B55</f>
        <v>All Rigid HGVs</v>
      </c>
      <c r="E116" s="209">
        <f>IF('Scope 3'!G55="Enter Consumption Figure",0,'Scope 3'!G55)</f>
        <v>0</v>
      </c>
      <c r="F116" s="38">
        <f t="shared" si="14"/>
        <v>0</v>
      </c>
      <c r="G116" s="34">
        <f t="shared" si="11"/>
        <v>0</v>
      </c>
    </row>
    <row r="117" spans="2:7" ht="14.1" customHeight="1" x14ac:dyDescent="0.2">
      <c r="B117" s="290"/>
      <c r="C117" s="295" t="str">
        <f>'Scope 3'!$B$32</f>
        <v>Outsourced Fleet</v>
      </c>
      <c r="D117" s="212" t="str">
        <f>'Scope 3'!B56</f>
        <v>Articulated HGV (&gt;3.5 - 33t)</v>
      </c>
      <c r="E117" s="209">
        <f>IF('Scope 3'!G56="Enter Consumption Figure",0,'Scope 3'!G56)</f>
        <v>0</v>
      </c>
      <c r="F117" s="38">
        <f t="shared" si="14"/>
        <v>0</v>
      </c>
      <c r="G117" s="34">
        <f t="shared" si="11"/>
        <v>0</v>
      </c>
    </row>
    <row r="118" spans="2:7" x14ac:dyDescent="0.2">
      <c r="B118" s="290"/>
      <c r="C118" s="295" t="str">
        <f>'Scope 3'!$B$32</f>
        <v>Outsourced Fleet</v>
      </c>
      <c r="D118" s="212" t="str">
        <f>'Scope 3'!B57</f>
        <v>Articulated HGV (&gt;33t)</v>
      </c>
      <c r="E118" s="209">
        <f>IF('Scope 3'!G57="Enter Consumption Figure",0,'Scope 3'!G57)</f>
        <v>0</v>
      </c>
      <c r="F118" s="38">
        <f t="shared" si="14"/>
        <v>0</v>
      </c>
      <c r="G118" s="34">
        <f t="shared" si="11"/>
        <v>0</v>
      </c>
    </row>
    <row r="119" spans="2:7" x14ac:dyDescent="0.2">
      <c r="B119" s="290"/>
      <c r="C119" s="295" t="str">
        <f>'Scope 3'!$B$32</f>
        <v>Outsourced Fleet</v>
      </c>
      <c r="D119" s="212" t="str">
        <f>'Scope 3'!B58</f>
        <v>All Articulated HGVs</v>
      </c>
      <c r="E119" s="209">
        <f>IF('Scope 3'!G58="Enter Consumption Figure",0,'Scope 3'!G58)</f>
        <v>0</v>
      </c>
      <c r="F119" s="38">
        <f t="shared" si="14"/>
        <v>0</v>
      </c>
      <c r="G119" s="34">
        <f t="shared" si="11"/>
        <v>0</v>
      </c>
    </row>
    <row r="120" spans="2:7" x14ac:dyDescent="0.2">
      <c r="B120" s="290"/>
      <c r="C120" s="295" t="str">
        <f>'Scope 3'!$B$32</f>
        <v>Outsourced Fleet</v>
      </c>
      <c r="D120" s="212" t="str">
        <f>'Scope 3'!B59</f>
        <v>All HGVs</v>
      </c>
      <c r="E120" s="209">
        <f>IF('Scope 3'!G59="Enter Consumption Figure",0,'Scope 3'!G59)</f>
        <v>0</v>
      </c>
      <c r="F120" s="38">
        <f t="shared" si="14"/>
        <v>0</v>
      </c>
      <c r="G120" s="34">
        <f t="shared" si="11"/>
        <v>0</v>
      </c>
    </row>
    <row r="121" spans="2:7" x14ac:dyDescent="0.2">
      <c r="B121" s="290"/>
      <c r="C121" s="295" t="str">
        <f>'Scope 3'!$B$32</f>
        <v>Outsourced Fleet</v>
      </c>
      <c r="D121" s="212" t="str">
        <f>'Scope 3'!B60</f>
        <v>Other Vehicles - Diesel</v>
      </c>
      <c r="E121" s="209">
        <f>IF('Scope 3'!G60="Enter Consumption Figure",0,'Scope 3'!G60)</f>
        <v>0</v>
      </c>
      <c r="F121" s="38">
        <f t="shared" si="14"/>
        <v>0</v>
      </c>
      <c r="G121" s="34">
        <f t="shared" si="11"/>
        <v>0</v>
      </c>
    </row>
    <row r="122" spans="2:7" ht="15" thickBot="1" x14ac:dyDescent="0.25">
      <c r="B122" s="290"/>
      <c r="C122" s="288" t="str">
        <f>'Scope 3'!$B$32</f>
        <v>Outsourced Fleet</v>
      </c>
      <c r="D122" s="213" t="str">
        <f>'Scope 3'!B61</f>
        <v>Other Vehicles - Petrol</v>
      </c>
      <c r="E122" s="215">
        <f>IF('Scope 3'!G61="Enter Consumption Figure",0,'Scope 3'!G61)</f>
        <v>0</v>
      </c>
      <c r="F122" s="39">
        <f t="shared" si="14"/>
        <v>0</v>
      </c>
      <c r="G122" s="40">
        <f t="shared" si="11"/>
        <v>0</v>
      </c>
    </row>
    <row r="123" spans="2:7" x14ac:dyDescent="0.2">
      <c r="B123" s="290"/>
      <c r="C123" s="284" t="str">
        <f>'Scope 3'!$B$63</f>
        <v>Transmission &amp; Distribution Losses</v>
      </c>
      <c r="D123" s="211" t="str">
        <f>'Scope 3'!B66</f>
        <v>T&amp;D Losses - Scope 2 Electricity</v>
      </c>
      <c r="E123" s="208">
        <f>IF('Scope 3'!G66="Enter Consumption Figure",0,'Scope 3'!G66)</f>
        <v>653.98104174669004</v>
      </c>
      <c r="F123" s="36">
        <f>IFERROR((E123/$D$17),0)</f>
        <v>1</v>
      </c>
      <c r="G123" s="34">
        <f t="shared" si="11"/>
        <v>3.8863606809733851E-2</v>
      </c>
    </row>
    <row r="124" spans="2:7" ht="15" thickBot="1" x14ac:dyDescent="0.25">
      <c r="B124" s="290"/>
      <c r="C124" s="286"/>
      <c r="D124" s="213" t="str">
        <f>'Scope 3'!B67</f>
        <v>T&amp;D Losses - EV</v>
      </c>
      <c r="E124" s="215">
        <f>IF('Scope 3'!G67="Enter Consumption Figure",0,'Scope 3'!G67)</f>
        <v>0</v>
      </c>
      <c r="F124" s="39">
        <f>IFERROR((E124/$D$17),0)</f>
        <v>0</v>
      </c>
      <c r="G124" s="40">
        <f t="shared" si="11"/>
        <v>0</v>
      </c>
    </row>
    <row r="125" spans="2:7" x14ac:dyDescent="0.2">
      <c r="B125" s="290"/>
      <c r="C125" s="287" t="str">
        <f>'Scope 3'!$B$69</f>
        <v>Water</v>
      </c>
      <c r="D125" s="211" t="str">
        <f>'Scope 3'!B72</f>
        <v>Water Supply</v>
      </c>
      <c r="E125" s="208">
        <f>IF('Scope 3'!G72="Enter Consumption Figure",0,'Scope 3'!G72)</f>
        <v>40.855847999999995</v>
      </c>
      <c r="F125" s="36">
        <f>IFERROR((E125/$D$18),0)</f>
        <v>0.3457613733627849</v>
      </c>
      <c r="G125" s="34">
        <f t="shared" si="11"/>
        <v>2.4279077086232482E-3</v>
      </c>
    </row>
    <row r="126" spans="2:7" ht="15" thickBot="1" x14ac:dyDescent="0.25">
      <c r="B126" s="291"/>
      <c r="C126" s="288" t="str">
        <f>'Scope 3'!$B$69</f>
        <v>Water</v>
      </c>
      <c r="D126" s="231" t="str">
        <f>'Scope 3'!B73</f>
        <v>Water Treatment</v>
      </c>
      <c r="E126" s="210">
        <f>IF('Scope 3'!G73="Enter Consumption Figure",0,'Scope 3'!G73)</f>
        <v>77.306130599999989</v>
      </c>
      <c r="F126" s="198">
        <f>IFERROR((E126/$D$18),0)</f>
        <v>0.6542386266372151</v>
      </c>
      <c r="G126" s="199">
        <f t="shared" si="11"/>
        <v>4.5940094159243874E-3</v>
      </c>
    </row>
    <row r="127" spans="2:7" ht="15" x14ac:dyDescent="0.2">
      <c r="B127" s="196"/>
      <c r="C127" s="281" t="str">
        <f>'Scope 3'!B75</f>
        <v>Material Use</v>
      </c>
      <c r="D127" s="211" t="str">
        <f>'Scope 3'!B78</f>
        <v>Food and drink</v>
      </c>
      <c r="E127" s="208">
        <f>IF('Scope 3'!H78="Enter Consumption Figure",0,'Scope 3'!H78)</f>
        <v>0</v>
      </c>
      <c r="F127" s="36">
        <f>IFERROR((E127/$D$19),0)</f>
        <v>0</v>
      </c>
      <c r="G127" s="37">
        <f t="shared" si="11"/>
        <v>0</v>
      </c>
    </row>
    <row r="128" spans="2:7" ht="15" x14ac:dyDescent="0.2">
      <c r="B128" s="196"/>
      <c r="C128" s="282"/>
      <c r="D128" s="212" t="str">
        <f>'Scope 3'!B79</f>
        <v>Electrical items - IT*</v>
      </c>
      <c r="E128" s="209">
        <f>IF('Scope 3'!H79="Enter Consumption Figure",0,'Scope 3'!H79)</f>
        <v>0</v>
      </c>
      <c r="F128" s="38">
        <f t="shared" ref="F128:F136" si="16">IFERROR((E128/$D$19),0)</f>
        <v>0</v>
      </c>
      <c r="G128" s="34">
        <f t="shared" ref="G128:G136" si="17">IFERROR((E128/D$22),0)</f>
        <v>0</v>
      </c>
    </row>
    <row r="129" spans="2:7" ht="15" x14ac:dyDescent="0.2">
      <c r="B129" s="196"/>
      <c r="C129" s="282"/>
      <c r="D129" s="212" t="str">
        <f>'Scope 3'!B80</f>
        <v>Plastics: average plastics</v>
      </c>
      <c r="E129" s="209">
        <f>IF('Scope 3'!H80="Enter Consumption Figure",0,'Scope 3'!H80)</f>
        <v>0</v>
      </c>
      <c r="F129" s="38">
        <f t="shared" si="16"/>
        <v>0</v>
      </c>
      <c r="G129" s="34">
        <f t="shared" si="17"/>
        <v>0</v>
      </c>
    </row>
    <row r="130" spans="2:7" ht="15" x14ac:dyDescent="0.2">
      <c r="B130" s="196"/>
      <c r="C130" s="282"/>
      <c r="D130" s="212" t="str">
        <f>'Scope 3'!B81</f>
        <v>Plastics: PS (incl. forming)</v>
      </c>
      <c r="E130" s="209">
        <f>IF('Scope 3'!H81="Enter Consumption Figure",0,'Scope 3'!H81)</f>
        <v>0</v>
      </c>
      <c r="F130" s="38">
        <f t="shared" si="16"/>
        <v>0</v>
      </c>
      <c r="G130" s="34">
        <f t="shared" si="17"/>
        <v>0</v>
      </c>
    </row>
    <row r="131" spans="2:7" ht="15" x14ac:dyDescent="0.2">
      <c r="B131" s="196"/>
      <c r="C131" s="282"/>
      <c r="D131" s="212" t="str">
        <f>'Scope 3'!B82</f>
        <v>Plastics: PVC (incl. forming)</v>
      </c>
      <c r="E131" s="209">
        <f>IF('Scope 3'!H82="Enter Consumption Figure",0,'Scope 3'!H82)</f>
        <v>0</v>
      </c>
      <c r="F131" s="38">
        <f t="shared" si="16"/>
        <v>0</v>
      </c>
      <c r="G131" s="34">
        <f t="shared" si="17"/>
        <v>0</v>
      </c>
    </row>
    <row r="132" spans="2:7" ht="15" x14ac:dyDescent="0.2">
      <c r="B132" s="196"/>
      <c r="C132" s="282"/>
      <c r="D132" s="212" t="str">
        <f>'Scope 3'!B83</f>
        <v>Paper and board: paper</v>
      </c>
      <c r="E132" s="209">
        <f>IF('Scope 3'!H83="Enter Consumption Figure",0,'Scope 3'!H83)</f>
        <v>0</v>
      </c>
      <c r="F132" s="38">
        <f t="shared" si="16"/>
        <v>0</v>
      </c>
      <c r="G132" s="34">
        <f t="shared" si="17"/>
        <v>0</v>
      </c>
    </row>
    <row r="133" spans="2:7" ht="15" x14ac:dyDescent="0.2">
      <c r="B133" s="196"/>
      <c r="C133" s="282"/>
      <c r="D133" s="212" t="str">
        <f>'Scope 3'!B84</f>
        <v>Other Please Specify</v>
      </c>
      <c r="E133" s="209">
        <f>IF('Scope 3'!H84="Enter Consumption Figure",0,'Scope 3'!H84)</f>
        <v>0</v>
      </c>
      <c r="F133" s="38">
        <f t="shared" si="16"/>
        <v>0</v>
      </c>
      <c r="G133" s="34">
        <f t="shared" si="17"/>
        <v>0</v>
      </c>
    </row>
    <row r="134" spans="2:7" ht="15" x14ac:dyDescent="0.2">
      <c r="B134" s="196"/>
      <c r="C134" s="282"/>
      <c r="D134" s="212" t="str">
        <f>'Scope 3'!B85</f>
        <v>Other Please Specify</v>
      </c>
      <c r="E134" s="209">
        <f>IF('Scope 3'!H85="Enter Consumption Figure",0,'Scope 3'!H85)</f>
        <v>0</v>
      </c>
      <c r="F134" s="38">
        <f t="shared" si="16"/>
        <v>0</v>
      </c>
      <c r="G134" s="34">
        <f t="shared" si="17"/>
        <v>0</v>
      </c>
    </row>
    <row r="135" spans="2:7" ht="15" x14ac:dyDescent="0.2">
      <c r="B135" s="196"/>
      <c r="C135" s="282"/>
      <c r="D135" s="212" t="str">
        <f>'Scope 3'!B86</f>
        <v>Other Please Specify</v>
      </c>
      <c r="E135" s="209">
        <f>IF('Scope 3'!H86="Enter Consumption Figure",0,'Scope 3'!H86)</f>
        <v>0</v>
      </c>
      <c r="F135" s="38">
        <f t="shared" si="16"/>
        <v>0</v>
      </c>
      <c r="G135" s="34">
        <f t="shared" si="17"/>
        <v>0</v>
      </c>
    </row>
    <row r="136" spans="2:7" ht="15.75" thickBot="1" x14ac:dyDescent="0.25">
      <c r="B136" s="196"/>
      <c r="C136" s="282"/>
      <c r="D136" s="213" t="str">
        <f>'Scope 3'!B87</f>
        <v>Other Please Specify</v>
      </c>
      <c r="E136" s="210">
        <f>IF('Scope 3'!H87="Enter Consumption Figure",0,'Scope 3'!H87)</f>
        <v>0</v>
      </c>
      <c r="F136" s="198">
        <f t="shared" si="16"/>
        <v>0</v>
      </c>
      <c r="G136" s="199">
        <f t="shared" si="17"/>
        <v>0</v>
      </c>
    </row>
    <row r="137" spans="2:7" ht="18.600000000000001" customHeight="1" x14ac:dyDescent="0.2">
      <c r="B137" s="196"/>
      <c r="C137" s="284" t="str">
        <f>'Scope 3'!B89</f>
        <v xml:space="preserve">Waste generated from own operations </v>
      </c>
      <c r="D137" s="211" t="str">
        <f>'Scope 3'!B92</f>
        <v>Glass</v>
      </c>
      <c r="E137" s="208">
        <f>IF('Scope 3'!H92="Enter Consumption Figure",0,'Scope 3'!H92)</f>
        <v>0</v>
      </c>
      <c r="F137" s="36">
        <f>IFERROR((E137/$D$20),0)</f>
        <v>0</v>
      </c>
      <c r="G137" s="37">
        <f t="shared" ref="G137" si="18">IFERROR((E137/D$22),0)</f>
        <v>0</v>
      </c>
    </row>
    <row r="138" spans="2:7" ht="15" x14ac:dyDescent="0.2">
      <c r="B138" s="196"/>
      <c r="C138" s="285"/>
      <c r="D138" s="212" t="str">
        <f>'Scope 3'!B93</f>
        <v>Organic: food and drink waste</v>
      </c>
      <c r="E138" s="209">
        <f>IF('Scope 3'!H93="Enter Consumption Figure",0,'Scope 3'!H93)</f>
        <v>0</v>
      </c>
      <c r="F138" s="38">
        <f t="shared" ref="F138:F149" si="19">IFERROR((E138/$D$20),0)</f>
        <v>0</v>
      </c>
      <c r="G138" s="34">
        <f t="shared" ref="G138:G149" si="20">IFERROR((E138/D$22),0)</f>
        <v>0</v>
      </c>
    </row>
    <row r="139" spans="2:7" ht="15" x14ac:dyDescent="0.2">
      <c r="B139" s="196"/>
      <c r="C139" s="285"/>
      <c r="D139" s="212" t="str">
        <f>'Scope 3'!B94</f>
        <v>Commercial and industrial waste</v>
      </c>
      <c r="E139" s="209">
        <f>IF('Scope 3'!H94="Enter Consumption Figure",0,'Scope 3'!H94)</f>
        <v>0</v>
      </c>
      <c r="F139" s="38">
        <f t="shared" si="19"/>
        <v>0</v>
      </c>
      <c r="G139" s="34">
        <f t="shared" si="20"/>
        <v>0</v>
      </c>
    </row>
    <row r="140" spans="2:7" ht="15" x14ac:dyDescent="0.2">
      <c r="B140" s="196"/>
      <c r="C140" s="285"/>
      <c r="D140" s="212" t="str">
        <f>'Scope 3'!B95</f>
        <v>WEEE - mixed</v>
      </c>
      <c r="E140" s="209">
        <f>IF('Scope 3'!H95="Enter Consumption Figure",0,'Scope 3'!H95)</f>
        <v>0</v>
      </c>
      <c r="F140" s="38">
        <f t="shared" si="19"/>
        <v>0</v>
      </c>
      <c r="G140" s="34">
        <f t="shared" si="20"/>
        <v>0</v>
      </c>
    </row>
    <row r="141" spans="2:7" ht="15" x14ac:dyDescent="0.2">
      <c r="B141" s="196"/>
      <c r="C141" s="285"/>
      <c r="D141" s="212" t="str">
        <f>'Scope 3'!B96</f>
        <v>Metal: mixed cans</v>
      </c>
      <c r="E141" s="209">
        <f>IF('Scope 3'!H96="Enter Consumption Figure",0,'Scope 3'!H96)</f>
        <v>0</v>
      </c>
      <c r="F141" s="38">
        <f t="shared" si="19"/>
        <v>0</v>
      </c>
      <c r="G141" s="34">
        <f t="shared" si="20"/>
        <v>0</v>
      </c>
    </row>
    <row r="142" spans="2:7" ht="15" x14ac:dyDescent="0.2">
      <c r="B142" s="196"/>
      <c r="C142" s="285"/>
      <c r="D142" s="212" t="str">
        <f>'Scope 3'!B97</f>
        <v>Plastics: average plastics</v>
      </c>
      <c r="E142" s="209">
        <f>IF('Scope 3'!H97="Enter Consumption Figure",0,'Scope 3'!H97)</f>
        <v>0</v>
      </c>
      <c r="F142" s="38">
        <f t="shared" si="19"/>
        <v>0</v>
      </c>
      <c r="G142" s="34">
        <f t="shared" si="20"/>
        <v>0</v>
      </c>
    </row>
    <row r="143" spans="2:7" ht="15" x14ac:dyDescent="0.2">
      <c r="B143" s="196"/>
      <c r="C143" s="285"/>
      <c r="D143" s="212" t="str">
        <f>'Scope 3'!B98</f>
        <v>Paper and board: mixed</v>
      </c>
      <c r="E143" s="209">
        <f>IF('Scope 3'!H98="Enter Consumption Figure",0,'Scope 3'!H98)</f>
        <v>0</v>
      </c>
      <c r="F143" s="38">
        <f t="shared" si="19"/>
        <v>0</v>
      </c>
      <c r="G143" s="34">
        <f t="shared" si="20"/>
        <v>0</v>
      </c>
    </row>
    <row r="144" spans="2:7" ht="15" x14ac:dyDescent="0.2">
      <c r="B144" s="196"/>
      <c r="C144" s="285"/>
      <c r="D144" s="212" t="str">
        <f>'Scope 3'!B99</f>
        <v>T&amp;D Losses - EV Mileage Per Vehicle</v>
      </c>
      <c r="E144" s="209">
        <f>IF('Scope 3'!H99="Enter Consumption Figure",0,'Scope 3'!H99)</f>
        <v>0</v>
      </c>
      <c r="F144" s="38">
        <f t="shared" si="19"/>
        <v>0</v>
      </c>
      <c r="G144" s="34">
        <f t="shared" si="20"/>
        <v>0</v>
      </c>
    </row>
    <row r="145" spans="2:7" ht="15" x14ac:dyDescent="0.2">
      <c r="B145" s="196"/>
      <c r="C145" s="285"/>
      <c r="D145" s="212" t="str">
        <f>'Scope 3'!B100</f>
        <v>T&amp;D Losses - EV Charging</v>
      </c>
      <c r="E145" s="209">
        <f>IF('Scope 3'!H100="Enter Consumption Figure",0,'Scope 3'!H100)</f>
        <v>0</v>
      </c>
      <c r="F145" s="38">
        <f t="shared" si="19"/>
        <v>0</v>
      </c>
      <c r="G145" s="34">
        <f t="shared" si="20"/>
        <v>0</v>
      </c>
    </row>
    <row r="146" spans="2:7" ht="15" x14ac:dyDescent="0.2">
      <c r="B146" s="196"/>
      <c r="C146" s="285"/>
      <c r="D146" s="212" t="str">
        <f>'Scope 3'!B101</f>
        <v>Other Please Specify</v>
      </c>
      <c r="E146" s="209">
        <f>IF('Scope 3'!H101="Enter Consumption Figure",0,'Scope 3'!H101)</f>
        <v>0</v>
      </c>
      <c r="F146" s="38">
        <f t="shared" si="19"/>
        <v>0</v>
      </c>
      <c r="G146" s="34">
        <f t="shared" si="20"/>
        <v>0</v>
      </c>
    </row>
    <row r="147" spans="2:7" ht="15" x14ac:dyDescent="0.2">
      <c r="B147" s="196"/>
      <c r="C147" s="285"/>
      <c r="D147" s="212" t="str">
        <f>'Scope 3'!B102</f>
        <v>Other Please Specify</v>
      </c>
      <c r="E147" s="209">
        <f>IF('Scope 3'!H102="Enter Consumption Figure",0,'Scope 3'!H102)</f>
        <v>0</v>
      </c>
      <c r="F147" s="38">
        <f t="shared" si="19"/>
        <v>0</v>
      </c>
      <c r="G147" s="34">
        <f t="shared" si="20"/>
        <v>0</v>
      </c>
    </row>
    <row r="148" spans="2:7" ht="15" x14ac:dyDescent="0.2">
      <c r="B148" s="196"/>
      <c r="C148" s="285"/>
      <c r="D148" s="212" t="str">
        <f>'Scope 3'!B103</f>
        <v>Other Please Specify</v>
      </c>
      <c r="E148" s="209">
        <f>IF('Scope 3'!H103="Enter Consumption Figure",0,'Scope 3'!H103)</f>
        <v>0</v>
      </c>
      <c r="F148" s="38">
        <f t="shared" si="19"/>
        <v>0</v>
      </c>
      <c r="G148" s="34">
        <f t="shared" si="20"/>
        <v>0</v>
      </c>
    </row>
    <row r="149" spans="2:7" ht="15.75" thickBot="1" x14ac:dyDescent="0.25">
      <c r="B149" s="196"/>
      <c r="C149" s="286"/>
      <c r="D149" s="212" t="str">
        <f>'Scope 3'!B104</f>
        <v>Other Please Specify</v>
      </c>
      <c r="E149" s="215">
        <f>IF('Scope 3'!H104="Enter Consumption Figure",0,'Scope 3'!H104)</f>
        <v>0</v>
      </c>
      <c r="F149" s="39">
        <f t="shared" si="19"/>
        <v>0</v>
      </c>
      <c r="G149" s="40">
        <f t="shared" si="20"/>
        <v>0</v>
      </c>
    </row>
    <row r="150" spans="2:7" x14ac:dyDescent="0.2">
      <c r="B150" s="289" t="s">
        <v>606</v>
      </c>
      <c r="C150" s="281" t="str">
        <f>'Outsourced Scope 3'!B14</f>
        <v>Heating</v>
      </c>
      <c r="D150" s="211" t="str">
        <f>'Outsourced Scope 3'!B17</f>
        <v>Natural Gas</v>
      </c>
      <c r="E150" s="214">
        <f>IF('Outsourced Scope 3'!G17="Enter Consumption Figure",0,'Outsourced Scope 3'!G17)</f>
        <v>2077.6651829895</v>
      </c>
      <c r="F150" s="41">
        <f>IFERROR((E150/$D$21),0)</f>
        <v>0.51065733164784444</v>
      </c>
      <c r="G150" s="42">
        <f t="shared" si="11"/>
        <v>0.1234677423344227</v>
      </c>
    </row>
    <row r="151" spans="2:7" x14ac:dyDescent="0.2">
      <c r="B151" s="290"/>
      <c r="C151" s="282"/>
      <c r="D151" s="212" t="str">
        <f>'Outsourced Scope 3'!B18</f>
        <v>Burning Oil - Kerosene</v>
      </c>
      <c r="E151" s="209">
        <f>IF('Outsourced Scope 3'!G18="Enter Consumption Figure",0,'Outsourced Scope 3'!G18)</f>
        <v>0</v>
      </c>
      <c r="F151" s="38">
        <f t="shared" ref="F151:F214" si="21">IFERROR((E151/$D$21),0)</f>
        <v>0</v>
      </c>
      <c r="G151" s="34">
        <f t="shared" si="11"/>
        <v>0</v>
      </c>
    </row>
    <row r="152" spans="2:7" x14ac:dyDescent="0.2">
      <c r="B152" s="290"/>
      <c r="C152" s="282"/>
      <c r="D152" s="212" t="str">
        <f>'Outsourced Scope 3'!B19</f>
        <v>Gas Oil</v>
      </c>
      <c r="E152" s="209">
        <f>IF('Outsourced Scope 3'!G19="Enter Consumption Figure",0,'Outsourced Scope 3'!G19)</f>
        <v>0</v>
      </c>
      <c r="F152" s="38">
        <f t="shared" si="21"/>
        <v>0</v>
      </c>
      <c r="G152" s="34">
        <f t="shared" si="11"/>
        <v>0</v>
      </c>
    </row>
    <row r="153" spans="2:7" ht="15" thickBot="1" x14ac:dyDescent="0.25">
      <c r="B153" s="290"/>
      <c r="C153" s="283"/>
      <c r="D153" s="213" t="str">
        <f>'Outsourced Scope 3'!B20</f>
        <v>Wood Pellets</v>
      </c>
      <c r="E153" s="215">
        <f>IF('Outsourced Scope 3'!G20="Enter Consumption Figure",0,'Outsourced Scope 3'!G20)</f>
        <v>0</v>
      </c>
      <c r="F153" s="39">
        <f t="shared" si="21"/>
        <v>0</v>
      </c>
      <c r="G153" s="40">
        <f t="shared" si="11"/>
        <v>0</v>
      </c>
    </row>
    <row r="154" spans="2:7" x14ac:dyDescent="0.2">
      <c r="B154" s="290"/>
      <c r="C154" s="281" t="str">
        <f>'Outsourced Scope 3'!B22</f>
        <v>Fugitive Emissions</v>
      </c>
      <c r="D154" s="211" t="str">
        <f>'Outsourced Scope 3'!B25</f>
        <v>HFC-32</v>
      </c>
      <c r="E154" s="208">
        <f>IF('Outsourced Scope 3'!G25="Enter Consumption Figure",0,'Outsourced Scope 3'!G25)</f>
        <v>0</v>
      </c>
      <c r="F154" s="36">
        <f t="shared" si="21"/>
        <v>0</v>
      </c>
      <c r="G154" s="42">
        <f t="shared" si="11"/>
        <v>0</v>
      </c>
    </row>
    <row r="155" spans="2:7" x14ac:dyDescent="0.2">
      <c r="B155" s="290"/>
      <c r="C155" s="282"/>
      <c r="D155" s="212" t="str">
        <f>'Outsourced Scope 3'!B26</f>
        <v>R410A</v>
      </c>
      <c r="E155" s="209">
        <f>IF('Outsourced Scope 3'!G26="Enter Consumption Figure",0,'Outsourced Scope 3'!G26)</f>
        <v>0</v>
      </c>
      <c r="F155" s="38">
        <f t="shared" si="21"/>
        <v>0</v>
      </c>
      <c r="G155" s="34">
        <f t="shared" si="11"/>
        <v>0</v>
      </c>
    </row>
    <row r="156" spans="2:7" x14ac:dyDescent="0.2">
      <c r="B156" s="290"/>
      <c r="C156" s="282"/>
      <c r="D156" s="212" t="str">
        <f>'Outsourced Scope 3'!B27</f>
        <v>HCFC-22/R22</v>
      </c>
      <c r="E156" s="209">
        <f>IF('Outsourced Scope 3'!G27="Enter Consumption Figure",0,'Outsourced Scope 3'!G27)</f>
        <v>0</v>
      </c>
      <c r="F156" s="38">
        <f t="shared" si="21"/>
        <v>0</v>
      </c>
      <c r="G156" s="34">
        <f t="shared" si="11"/>
        <v>0</v>
      </c>
    </row>
    <row r="157" spans="2:7" ht="15" thickBot="1" x14ac:dyDescent="0.25">
      <c r="B157" s="290"/>
      <c r="C157" s="283"/>
      <c r="D157" s="213" t="str">
        <f>'Outsourced Scope 3'!B28</f>
        <v>Other Fugitive Emissions</v>
      </c>
      <c r="E157" s="215">
        <f>IF('Outsourced Scope 3'!G28="Enter Consumption Figure",0,'Outsourced Scope 3'!G28)</f>
        <v>0</v>
      </c>
      <c r="F157" s="39">
        <f t="shared" si="21"/>
        <v>0</v>
      </c>
      <c r="G157" s="40">
        <f t="shared" si="11"/>
        <v>0</v>
      </c>
    </row>
    <row r="158" spans="2:7" x14ac:dyDescent="0.2">
      <c r="B158" s="290"/>
      <c r="C158" s="284" t="str">
        <f>'Outsourced Scope 3'!B30</f>
        <v>Provider's Fleet</v>
      </c>
      <c r="D158" s="232" t="str">
        <f>'Outsourced Scope 3'!B33</f>
        <v>Small diesel car ≤ 1.7 litre</v>
      </c>
      <c r="E158" s="214">
        <f>IF('Outsourced Scope 3'!G33="Enter Consumption Figure",0,'Outsourced Scope 3'!G33)</f>
        <v>0</v>
      </c>
      <c r="F158" s="41">
        <f t="shared" si="21"/>
        <v>0</v>
      </c>
      <c r="G158" s="42">
        <f t="shared" si="11"/>
        <v>0</v>
      </c>
    </row>
    <row r="159" spans="2:7" x14ac:dyDescent="0.2">
      <c r="B159" s="290"/>
      <c r="C159" s="285"/>
      <c r="D159" s="232" t="str">
        <f>'Outsourced Scope 3'!B34</f>
        <v>Medium diesel car, 1.7 - 2.0 litre</v>
      </c>
      <c r="E159" s="214">
        <f>IF('Outsourced Scope 3'!G34="Enter Consumption Figure",0,'Outsourced Scope 3'!G34)</f>
        <v>0</v>
      </c>
      <c r="F159" s="38">
        <f t="shared" si="21"/>
        <v>0</v>
      </c>
      <c r="G159" s="34">
        <f t="shared" si="11"/>
        <v>0</v>
      </c>
    </row>
    <row r="160" spans="2:7" x14ac:dyDescent="0.2">
      <c r="B160" s="290"/>
      <c r="C160" s="285"/>
      <c r="D160" s="232" t="str">
        <f>'Outsourced Scope 3'!B35</f>
        <v>Large Diesel Car &gt; 2.0 litre</v>
      </c>
      <c r="E160" s="214">
        <f>IF('Outsourced Scope 3'!G35="Enter Consumption Figure",0,'Outsourced Scope 3'!G35)</f>
        <v>0</v>
      </c>
      <c r="F160" s="38">
        <f t="shared" si="21"/>
        <v>0</v>
      </c>
      <c r="G160" s="34">
        <f t="shared" ref="G160:G185" si="22">IFERROR((E160/D$22),0)</f>
        <v>0</v>
      </c>
    </row>
    <row r="161" spans="2:7" x14ac:dyDescent="0.2">
      <c r="B161" s="290"/>
      <c r="C161" s="285"/>
      <c r="D161" s="232" t="str">
        <f>'Outsourced Scope 3'!B36</f>
        <v>MPV - Diesel</v>
      </c>
      <c r="E161" s="214">
        <f>IF('Outsourced Scope 3'!G36="Enter Consumption Figure",0,'Outsourced Scope 3'!G36)</f>
        <v>0</v>
      </c>
      <c r="F161" s="38">
        <f t="shared" si="21"/>
        <v>0</v>
      </c>
      <c r="G161" s="34">
        <f t="shared" si="22"/>
        <v>0</v>
      </c>
    </row>
    <row r="162" spans="2:7" x14ac:dyDescent="0.2">
      <c r="B162" s="290"/>
      <c r="C162" s="285"/>
      <c r="D162" s="232" t="str">
        <f>'Outsourced Scope 3'!B37</f>
        <v>Diesel van Class I (up to 1.305 tonnes)</v>
      </c>
      <c r="E162" s="214">
        <f>IF('Outsourced Scope 3'!G37="Enter Consumption Figure",0,'Outsourced Scope 3'!G37)</f>
        <v>0</v>
      </c>
      <c r="F162" s="38">
        <f t="shared" si="21"/>
        <v>0</v>
      </c>
      <c r="G162" s="34">
        <f t="shared" si="22"/>
        <v>0</v>
      </c>
    </row>
    <row r="163" spans="2:7" x14ac:dyDescent="0.2">
      <c r="B163" s="290"/>
      <c r="C163" s="285"/>
      <c r="D163" s="232" t="str">
        <f>'Outsourced Scope 3'!B38</f>
        <v>Diesel van Class II (1.305 to 1.74 tonnes)</v>
      </c>
      <c r="E163" s="214">
        <f>IF('Outsourced Scope 3'!G38="Enter Consumption Figure",0,'Outsourced Scope 3'!G38)</f>
        <v>0</v>
      </c>
      <c r="F163" s="38">
        <f t="shared" si="21"/>
        <v>0</v>
      </c>
      <c r="G163" s="34">
        <f t="shared" si="22"/>
        <v>0</v>
      </c>
    </row>
    <row r="164" spans="2:7" x14ac:dyDescent="0.2">
      <c r="B164" s="290"/>
      <c r="C164" s="285"/>
      <c r="D164" s="232" t="str">
        <f>'Outsourced Scope 3'!B39</f>
        <v>Diesel van Class III (1.74 to 3.5 tonnes)</v>
      </c>
      <c r="E164" s="214">
        <f>IF('Outsourced Scope 3'!G39="Enter Consumption Figure",0,'Outsourced Scope 3'!G39)</f>
        <v>0</v>
      </c>
      <c r="F164" s="38">
        <f t="shared" si="21"/>
        <v>0</v>
      </c>
      <c r="G164" s="34">
        <f t="shared" si="22"/>
        <v>0</v>
      </c>
    </row>
    <row r="165" spans="2:7" x14ac:dyDescent="0.2">
      <c r="B165" s="290"/>
      <c r="C165" s="285"/>
      <c r="D165" s="232" t="str">
        <f>'Outsourced Scope 3'!B40</f>
        <v>Diesel 4x4</v>
      </c>
      <c r="E165" s="214">
        <f>IF('Outsourced Scope 3'!G40="Enter Consumption Figure",0,'Outsourced Scope 3'!G40)</f>
        <v>0</v>
      </c>
      <c r="F165" s="38">
        <f t="shared" si="21"/>
        <v>0</v>
      </c>
      <c r="G165" s="34">
        <f t="shared" si="22"/>
        <v>0</v>
      </c>
    </row>
    <row r="166" spans="2:7" x14ac:dyDescent="0.2">
      <c r="B166" s="290"/>
      <c r="C166" s="285"/>
      <c r="D166" s="232" t="str">
        <f>'Outsourced Scope 3'!B41</f>
        <v>Minibus - Diesel</v>
      </c>
      <c r="E166" s="214">
        <f>IF('Outsourced Scope 3'!G41="Enter Consumption Figure",0,'Outsourced Scope 3'!G41)</f>
        <v>0</v>
      </c>
      <c r="F166" s="38">
        <f t="shared" si="21"/>
        <v>0</v>
      </c>
      <c r="G166" s="34">
        <f t="shared" si="22"/>
        <v>0</v>
      </c>
    </row>
    <row r="167" spans="2:7" x14ac:dyDescent="0.2">
      <c r="B167" s="290"/>
      <c r="C167" s="285"/>
      <c r="D167" s="232" t="str">
        <f>'Outsourced Scope 3'!B42</f>
        <v>Small Petrol Cars  ≤ 1.4 litre</v>
      </c>
      <c r="E167" s="214">
        <f>IF('Outsourced Scope 3'!G42="Enter Consumption Figure",0,'Outsourced Scope 3'!G42)</f>
        <v>0</v>
      </c>
      <c r="F167" s="38">
        <f t="shared" si="21"/>
        <v>0</v>
      </c>
      <c r="G167" s="34">
        <f t="shared" si="22"/>
        <v>0</v>
      </c>
    </row>
    <row r="168" spans="2:7" x14ac:dyDescent="0.2">
      <c r="B168" s="290"/>
      <c r="C168" s="285"/>
      <c r="D168" s="232" t="str">
        <f>'Outsourced Scope 3'!B43</f>
        <v>Medium Petrol Car 1.4 - 2.0 litre</v>
      </c>
      <c r="E168" s="214">
        <f>IF('Outsourced Scope 3'!G43="Enter Consumption Figure",0,'Outsourced Scope 3'!G43)</f>
        <v>0</v>
      </c>
      <c r="F168" s="38">
        <f t="shared" si="21"/>
        <v>0</v>
      </c>
      <c r="G168" s="34">
        <f t="shared" si="22"/>
        <v>0</v>
      </c>
    </row>
    <row r="169" spans="2:7" x14ac:dyDescent="0.2">
      <c r="B169" s="290"/>
      <c r="C169" s="285"/>
      <c r="D169" s="232" t="str">
        <f>'Outsourced Scope 3'!B44</f>
        <v>Large Petrol Car &gt; 2.0 litre</v>
      </c>
      <c r="E169" s="214">
        <f>IF('Outsourced Scope 3'!G44="Enter Consumption Figure",0,'Outsourced Scope 3'!G44)</f>
        <v>0</v>
      </c>
      <c r="F169" s="38">
        <f t="shared" si="21"/>
        <v>0</v>
      </c>
      <c r="G169" s="34">
        <f t="shared" si="22"/>
        <v>0</v>
      </c>
    </row>
    <row r="170" spans="2:7" x14ac:dyDescent="0.2">
      <c r="B170" s="290"/>
      <c r="C170" s="285"/>
      <c r="D170" s="232" t="str">
        <f>'Outsourced Scope 3'!B45</f>
        <v>Small Hybrid Car - Petrol</v>
      </c>
      <c r="E170" s="214">
        <f>IF('Outsourced Scope 3'!G45="Enter Consumption Figure",0,'Outsourced Scope 3'!G45)</f>
        <v>0</v>
      </c>
      <c r="F170" s="38">
        <f t="shared" si="21"/>
        <v>0</v>
      </c>
      <c r="G170" s="34">
        <f t="shared" si="22"/>
        <v>0</v>
      </c>
    </row>
    <row r="171" spans="2:7" x14ac:dyDescent="0.2">
      <c r="B171" s="290"/>
      <c r="C171" s="285"/>
      <c r="D171" s="232" t="str">
        <f>'Outsourced Scope 3'!B46</f>
        <v>Medium Hybrid Car - Petrol</v>
      </c>
      <c r="E171" s="214">
        <f>IF('Outsourced Scope 3'!G46="Enter Consumption Figure",0,'Outsourced Scope 3'!G46)</f>
        <v>0</v>
      </c>
      <c r="F171" s="38">
        <f t="shared" si="21"/>
        <v>0</v>
      </c>
      <c r="G171" s="34">
        <f t="shared" si="22"/>
        <v>0</v>
      </c>
    </row>
    <row r="172" spans="2:7" x14ac:dyDescent="0.2">
      <c r="B172" s="290"/>
      <c r="C172" s="285"/>
      <c r="D172" s="232" t="str">
        <f>'Outsourced Scope 3'!B47</f>
        <v>Large Hybrid Car - Petrol</v>
      </c>
      <c r="E172" s="214">
        <f>IF('Outsourced Scope 3'!G47="Enter Consumption Figure",0,'Outsourced Scope 3'!G47)</f>
        <v>0</v>
      </c>
      <c r="F172" s="38">
        <f t="shared" si="21"/>
        <v>0</v>
      </c>
      <c r="G172" s="34">
        <f t="shared" si="22"/>
        <v>0</v>
      </c>
    </row>
    <row r="173" spans="2:7" x14ac:dyDescent="0.2">
      <c r="B173" s="290"/>
      <c r="C173" s="285"/>
      <c r="D173" s="232" t="str">
        <f>'Outsourced Scope 3'!B48</f>
        <v>Electric Vehicle (Average Sized Car)</v>
      </c>
      <c r="E173" s="214">
        <f>IF('Outsourced Scope 3'!G48="Enter Consumption Figure",0,'Outsourced Scope 3'!G48)</f>
        <v>0</v>
      </c>
      <c r="F173" s="38">
        <f t="shared" si="21"/>
        <v>0</v>
      </c>
      <c r="G173" s="34">
        <f t="shared" si="22"/>
        <v>0</v>
      </c>
    </row>
    <row r="174" spans="2:7" x14ac:dyDescent="0.2">
      <c r="B174" s="290"/>
      <c r="C174" s="285"/>
      <c r="D174" s="232" t="str">
        <f>'Outsourced Scope 3'!B49</f>
        <v>Average Medium Car (Unknown Fuel)</v>
      </c>
      <c r="E174" s="214">
        <f>IF('Outsourced Scope 3'!G49="Enter Consumption Figure",0,'Outsourced Scope 3'!G49)</f>
        <v>0</v>
      </c>
      <c r="F174" s="38">
        <f t="shared" si="21"/>
        <v>0</v>
      </c>
      <c r="G174" s="34">
        <f t="shared" si="22"/>
        <v>0</v>
      </c>
    </row>
    <row r="175" spans="2:7" x14ac:dyDescent="0.2">
      <c r="B175" s="290"/>
      <c r="C175" s="285"/>
      <c r="D175" s="232" t="str">
        <f>'Outsourced Scope 3'!B50</f>
        <v>Rigid HGV (&gt;3.5 - 7.5 tonnes)</v>
      </c>
      <c r="E175" s="214">
        <f>IF('Outsourced Scope 3'!G50="Enter Consumption Figure",0,'Outsourced Scope 3'!G50)</f>
        <v>0</v>
      </c>
      <c r="F175" s="38">
        <f t="shared" si="21"/>
        <v>0</v>
      </c>
      <c r="G175" s="34">
        <f t="shared" si="22"/>
        <v>0</v>
      </c>
    </row>
    <row r="176" spans="2:7" x14ac:dyDescent="0.2">
      <c r="B176" s="290"/>
      <c r="C176" s="285"/>
      <c r="D176" s="232" t="str">
        <f>'Outsourced Scope 3'!B51</f>
        <v>Rigid HGV (&gt;7.5 tonnes-17 tonnes)</v>
      </c>
      <c r="E176" s="214">
        <f>IF('Outsourced Scope 3'!G51="Enter Consumption Figure",0,'Outsourced Scope 3'!G51)</f>
        <v>0</v>
      </c>
      <c r="F176" s="38">
        <f t="shared" si="21"/>
        <v>0</v>
      </c>
      <c r="G176" s="34">
        <f t="shared" si="22"/>
        <v>0</v>
      </c>
    </row>
    <row r="177" spans="2:7" x14ac:dyDescent="0.2">
      <c r="B177" s="290"/>
      <c r="C177" s="285"/>
      <c r="D177" s="232" t="str">
        <f>'Outsourced Scope 3'!B52</f>
        <v>Rigid HGV (&gt;17 tonnes)</v>
      </c>
      <c r="E177" s="214">
        <f>IF('Outsourced Scope 3'!G52="Enter Consumption Figure",0,'Outsourced Scope 3'!G52)</f>
        <v>654.15445811999996</v>
      </c>
      <c r="F177" s="38">
        <f t="shared" si="21"/>
        <v>0.16078084804234263</v>
      </c>
      <c r="G177" s="34">
        <f t="shared" si="22"/>
        <v>3.8873912285453283E-2</v>
      </c>
    </row>
    <row r="178" spans="2:7" x14ac:dyDescent="0.2">
      <c r="B178" s="290"/>
      <c r="C178" s="285"/>
      <c r="D178" s="232" t="str">
        <f>'Outsourced Scope 3'!B53</f>
        <v>All Rigid HGVs</v>
      </c>
      <c r="E178" s="214">
        <f>IF('Outsourced Scope 3'!G53="Enter Consumption Figure",0,'Outsourced Scope 3'!G53)</f>
        <v>0</v>
      </c>
      <c r="F178" s="38">
        <f t="shared" si="21"/>
        <v>0</v>
      </c>
      <c r="G178" s="34">
        <f t="shared" si="22"/>
        <v>0</v>
      </c>
    </row>
    <row r="179" spans="2:7" x14ac:dyDescent="0.2">
      <c r="B179" s="290"/>
      <c r="C179" s="285"/>
      <c r="D179" s="232" t="str">
        <f>'Outsourced Scope 3'!B54</f>
        <v>Articulated HGV (&gt;3.5 - 33t)</v>
      </c>
      <c r="E179" s="214">
        <f>IF('Outsourced Scope 3'!G54="Enter Consumption Figure",0,'Outsourced Scope 3'!G54)</f>
        <v>0</v>
      </c>
      <c r="F179" s="38">
        <f t="shared" si="21"/>
        <v>0</v>
      </c>
      <c r="G179" s="34">
        <f t="shared" si="22"/>
        <v>0</v>
      </c>
    </row>
    <row r="180" spans="2:7" x14ac:dyDescent="0.2">
      <c r="B180" s="290"/>
      <c r="C180" s="285"/>
      <c r="D180" s="232" t="str">
        <f>'Outsourced Scope 3'!B55</f>
        <v>Articulated HGV (&gt;33t)</v>
      </c>
      <c r="E180" s="214">
        <f>IF('Outsourced Scope 3'!G55="Enter Consumption Figure",0,'Outsourced Scope 3'!G55)</f>
        <v>0</v>
      </c>
      <c r="F180" s="38">
        <f t="shared" si="21"/>
        <v>0</v>
      </c>
      <c r="G180" s="34">
        <f t="shared" si="22"/>
        <v>0</v>
      </c>
    </row>
    <row r="181" spans="2:7" x14ac:dyDescent="0.2">
      <c r="B181" s="290"/>
      <c r="C181" s="285"/>
      <c r="D181" s="232" t="str">
        <f>'Outsourced Scope 3'!B56</f>
        <v>All Articulated HGVs</v>
      </c>
      <c r="E181" s="214">
        <f>IF('Outsourced Scope 3'!G56="Enter Consumption Figure",0,'Outsourced Scope 3'!G56)</f>
        <v>0</v>
      </c>
      <c r="F181" s="38">
        <f t="shared" si="21"/>
        <v>0</v>
      </c>
      <c r="G181" s="34">
        <f t="shared" si="22"/>
        <v>0</v>
      </c>
    </row>
    <row r="182" spans="2:7" x14ac:dyDescent="0.2">
      <c r="B182" s="290"/>
      <c r="C182" s="285"/>
      <c r="D182" s="232" t="str">
        <f>'Outsourced Scope 3'!B57</f>
        <v>All HGVs</v>
      </c>
      <c r="E182" s="214">
        <f>IF('Outsourced Scope 3'!G57="Enter Consumption Figure",0,'Outsourced Scope 3'!G57)</f>
        <v>0</v>
      </c>
      <c r="F182" s="38">
        <f t="shared" si="21"/>
        <v>0</v>
      </c>
      <c r="G182" s="34">
        <f t="shared" si="22"/>
        <v>0</v>
      </c>
    </row>
    <row r="183" spans="2:7" x14ac:dyDescent="0.2">
      <c r="B183" s="290"/>
      <c r="C183" s="285"/>
      <c r="D183" s="232" t="str">
        <f>'Outsourced Scope 3'!B58</f>
        <v>Other Vehicles - Diesel</v>
      </c>
      <c r="E183" s="214">
        <f>IF('Outsourced Scope 3'!G58="Enter Consumption Figure",0,'Outsourced Scope 3'!G58)</f>
        <v>0</v>
      </c>
      <c r="F183" s="38">
        <f t="shared" si="21"/>
        <v>0</v>
      </c>
      <c r="G183" s="34">
        <f t="shared" si="22"/>
        <v>0</v>
      </c>
    </row>
    <row r="184" spans="2:7" ht="15" thickBot="1" x14ac:dyDescent="0.25">
      <c r="B184" s="290"/>
      <c r="C184" s="286"/>
      <c r="D184" s="232" t="str">
        <f>'Outsourced Scope 3'!B59</f>
        <v>Other Vehicles - Petrol</v>
      </c>
      <c r="E184" s="214">
        <f>IF('Outsourced Scope 3'!G59="Enter Consumption Figure",0,'Outsourced Scope 3'!G59)</f>
        <v>0</v>
      </c>
      <c r="F184" s="39">
        <f t="shared" si="21"/>
        <v>0</v>
      </c>
      <c r="G184" s="40">
        <f t="shared" si="22"/>
        <v>0</v>
      </c>
    </row>
    <row r="185" spans="2:7" ht="15.75" thickBot="1" x14ac:dyDescent="0.25">
      <c r="B185" s="290"/>
      <c r="C185" s="202" t="str">
        <f>'Scope 2'!$B$15</f>
        <v>Electricity</v>
      </c>
      <c r="D185" s="233" t="str">
        <f>'Outsourced Scope 3'!B100</f>
        <v xml:space="preserve">Building Use </v>
      </c>
      <c r="E185" s="227">
        <f>IF('Outsourced Scope 3'!G100="Enter Consumption Figure",0,'Outsourced Scope 3'!G100)</f>
        <v>1336.7896869599997</v>
      </c>
      <c r="F185" s="203">
        <f t="shared" si="21"/>
        <v>0.32856182030981296</v>
      </c>
      <c r="G185" s="204">
        <f t="shared" si="22"/>
        <v>7.9440328488059833E-2</v>
      </c>
    </row>
    <row r="186" spans="2:7" x14ac:dyDescent="0.2">
      <c r="B186" s="290"/>
      <c r="C186" s="285" t="str">
        <f>'Scope 3'!$B$15</f>
        <v>Staff Travel</v>
      </c>
      <c r="D186" s="232" t="str">
        <f>'Outsourced Scope 3'!B140</f>
        <v>Small Petrol Motorbike (Mopeds/Scooters up to 125cc)</v>
      </c>
      <c r="E186" s="214">
        <f>IF('Outsourced Scope 3'!G140="Enter Consumption Figure",0,'Outsourced Scope 3'!G140)</f>
        <v>0</v>
      </c>
      <c r="F186" s="41">
        <f t="shared" si="21"/>
        <v>0</v>
      </c>
      <c r="G186" s="34">
        <f t="shared" ref="G186:G219" si="23">IFERROR((E186/D$22),0)</f>
        <v>0</v>
      </c>
    </row>
    <row r="187" spans="2:7" x14ac:dyDescent="0.2">
      <c r="B187" s="290"/>
      <c r="C187" s="285" t="s">
        <v>539</v>
      </c>
      <c r="D187" s="232" t="str">
        <f>'Outsourced Scope 3'!B141</f>
        <v>Medium Petrol Motorbike (125-500cc)</v>
      </c>
      <c r="E187" s="209">
        <f>IF('Outsourced Scope 3'!G141="Enter Consumption Figure",0,'Outsourced Scope 3'!G141)</f>
        <v>0</v>
      </c>
      <c r="F187" s="38">
        <f t="shared" si="21"/>
        <v>0</v>
      </c>
      <c r="G187" s="34">
        <f t="shared" si="23"/>
        <v>0</v>
      </c>
    </row>
    <row r="188" spans="2:7" x14ac:dyDescent="0.2">
      <c r="B188" s="290"/>
      <c r="C188" s="285" t="s">
        <v>539</v>
      </c>
      <c r="D188" s="232" t="str">
        <f>'Outsourced Scope 3'!B142</f>
        <v>Average Medium Car (unknown fuel)</v>
      </c>
      <c r="E188" s="209">
        <f>IF('Outsourced Scope 3'!G142="Enter Consumption Figure",0,'Outsourced Scope 3'!G142)</f>
        <v>0</v>
      </c>
      <c r="F188" s="38">
        <f t="shared" si="21"/>
        <v>0</v>
      </c>
      <c r="G188" s="34">
        <f t="shared" si="23"/>
        <v>0</v>
      </c>
    </row>
    <row r="189" spans="2:7" x14ac:dyDescent="0.2">
      <c r="B189" s="290"/>
      <c r="C189" s="285" t="s">
        <v>539</v>
      </c>
      <c r="D189" s="232" t="str">
        <f>'Outsourced Scope 3'!B143</f>
        <v>Small Petrol Cars  ≤ 1.4 litre</v>
      </c>
      <c r="E189" s="209">
        <f>IF('Outsourced Scope 3'!G143="Enter Consumption Figure",0,'Outsourced Scope 3'!G143)</f>
        <v>0</v>
      </c>
      <c r="F189" s="38">
        <f t="shared" si="21"/>
        <v>0</v>
      </c>
      <c r="G189" s="34">
        <f t="shared" si="23"/>
        <v>0</v>
      </c>
    </row>
    <row r="190" spans="2:7" x14ac:dyDescent="0.2">
      <c r="B190" s="290"/>
      <c r="C190" s="285" t="s">
        <v>539</v>
      </c>
      <c r="D190" s="232" t="str">
        <f>'Outsourced Scope 3'!B144</f>
        <v>Medium Petrol Car 1.4 - 2.0 litre</v>
      </c>
      <c r="E190" s="209">
        <f>IF('Outsourced Scope 3'!G144="Enter Consumption Figure",0,'Outsourced Scope 3'!G144)</f>
        <v>0</v>
      </c>
      <c r="F190" s="38">
        <f t="shared" si="21"/>
        <v>0</v>
      </c>
      <c r="G190" s="34">
        <f t="shared" si="23"/>
        <v>0</v>
      </c>
    </row>
    <row r="191" spans="2:7" x14ac:dyDescent="0.2">
      <c r="B191" s="290"/>
      <c r="C191" s="285" t="s">
        <v>539</v>
      </c>
      <c r="D191" s="232" t="str">
        <f>'Outsourced Scope 3'!B145</f>
        <v>Large Petrol Car &gt; 2.0 litre</v>
      </c>
      <c r="E191" s="209">
        <f>IF('Outsourced Scope 3'!G145="Enter Consumption Figure",0,'Outsourced Scope 3'!G145)</f>
        <v>0</v>
      </c>
      <c r="F191" s="38">
        <f t="shared" si="21"/>
        <v>0</v>
      </c>
      <c r="G191" s="34">
        <f t="shared" si="23"/>
        <v>0</v>
      </c>
    </row>
    <row r="192" spans="2:7" x14ac:dyDescent="0.2">
      <c r="B192" s="290"/>
      <c r="C192" s="285" t="s">
        <v>539</v>
      </c>
      <c r="D192" s="232" t="str">
        <f>'Outsourced Scope 3'!B146</f>
        <v>Small Diesel Car ≤ 1.7 litre</v>
      </c>
      <c r="E192" s="209">
        <f>IF('Outsourced Scope 3'!G146="Enter Consumption Figure",0,'Outsourced Scope 3'!G146)</f>
        <v>0</v>
      </c>
      <c r="F192" s="38">
        <f t="shared" si="21"/>
        <v>0</v>
      </c>
      <c r="G192" s="34">
        <f t="shared" si="23"/>
        <v>0</v>
      </c>
    </row>
    <row r="193" spans="2:7" x14ac:dyDescent="0.2">
      <c r="B193" s="290"/>
      <c r="C193" s="285" t="s">
        <v>539</v>
      </c>
      <c r="D193" s="232" t="str">
        <f>'Outsourced Scope 3'!B147</f>
        <v>Medium Diesel Car 1.7 - 2.0 litre</v>
      </c>
      <c r="E193" s="209">
        <f>IF('Outsourced Scope 3'!G147="Enter Consumption Figure",0,'Outsourced Scope 3'!G147)</f>
        <v>0</v>
      </c>
      <c r="F193" s="38">
        <f t="shared" si="21"/>
        <v>0</v>
      </c>
      <c r="G193" s="34">
        <f t="shared" si="23"/>
        <v>0</v>
      </c>
    </row>
    <row r="194" spans="2:7" x14ac:dyDescent="0.2">
      <c r="B194" s="290"/>
      <c r="C194" s="285" t="s">
        <v>539</v>
      </c>
      <c r="D194" s="232" t="str">
        <f>'Outsourced Scope 3'!B148</f>
        <v>Large Diesel Car &gt; 2.0 litre</v>
      </c>
      <c r="E194" s="209">
        <f>IF('Outsourced Scope 3'!G148="Enter Consumption Figure",0,'Outsourced Scope 3'!G148)</f>
        <v>0</v>
      </c>
      <c r="F194" s="38">
        <f t="shared" si="21"/>
        <v>0</v>
      </c>
      <c r="G194" s="34">
        <f t="shared" si="23"/>
        <v>0</v>
      </c>
    </row>
    <row r="195" spans="2:7" x14ac:dyDescent="0.2">
      <c r="B195" s="290"/>
      <c r="C195" s="285" t="s">
        <v>539</v>
      </c>
      <c r="D195" s="232" t="str">
        <f>'Outsourced Scope 3'!B149</f>
        <v>Small Hybrid Car - Petrol</v>
      </c>
      <c r="E195" s="209">
        <f>IF('Outsourced Scope 3'!G149="Enter Consumption Figure",0,'Outsourced Scope 3'!G149)</f>
        <v>0</v>
      </c>
      <c r="F195" s="38">
        <f t="shared" si="21"/>
        <v>0</v>
      </c>
      <c r="G195" s="34">
        <f t="shared" si="23"/>
        <v>0</v>
      </c>
    </row>
    <row r="196" spans="2:7" x14ac:dyDescent="0.2">
      <c r="B196" s="290"/>
      <c r="C196" s="285" t="s">
        <v>539</v>
      </c>
      <c r="D196" s="232" t="str">
        <f>'Outsourced Scope 3'!B150</f>
        <v>Medium Hybrid Car - Petrol</v>
      </c>
      <c r="E196" s="209">
        <f>IF('Outsourced Scope 3'!G150="Enter Consumption Figure",0,'Outsourced Scope 3'!G150)</f>
        <v>0</v>
      </c>
      <c r="F196" s="38">
        <f t="shared" si="21"/>
        <v>0</v>
      </c>
      <c r="G196" s="34">
        <f t="shared" si="23"/>
        <v>0</v>
      </c>
    </row>
    <row r="197" spans="2:7" x14ac:dyDescent="0.2">
      <c r="B197" s="290"/>
      <c r="C197" s="285" t="s">
        <v>539</v>
      </c>
      <c r="D197" s="232" t="str">
        <f>'Outsourced Scope 3'!B151</f>
        <v>Large Hybrid Car - Petrol</v>
      </c>
      <c r="E197" s="209">
        <f>IF('Outsourced Scope 3'!G151="Enter Consumption Figure",0,'Outsourced Scope 3'!G151)</f>
        <v>0</v>
      </c>
      <c r="F197" s="38">
        <f t="shared" si="21"/>
        <v>0</v>
      </c>
      <c r="G197" s="34">
        <f t="shared" si="23"/>
        <v>0</v>
      </c>
    </row>
    <row r="198" spans="2:7" ht="16.149999999999999" customHeight="1" thickBot="1" x14ac:dyDescent="0.25">
      <c r="B198" s="290"/>
      <c r="C198" s="286" t="s">
        <v>539</v>
      </c>
      <c r="D198" s="206" t="str">
        <f>'Outsourced Scope 3'!B152</f>
        <v>Electric Vehicle (Average Sized Car)</v>
      </c>
      <c r="E198" s="210">
        <f>IF('Outsourced Scope 3'!G152="Enter Consumption Figure",0,'Outsourced Scope 3'!G152)</f>
        <v>0</v>
      </c>
      <c r="F198" s="198">
        <f t="shared" si="21"/>
        <v>0</v>
      </c>
      <c r="G198" s="199">
        <f t="shared" si="23"/>
        <v>0</v>
      </c>
    </row>
    <row r="199" spans="2:7" ht="16.149999999999999" customHeight="1" x14ac:dyDescent="0.2">
      <c r="B199" s="290"/>
      <c r="C199" s="284" t="str">
        <f>'Outsourced Scope 3'!B154</f>
        <v>Outsourced Material Use</v>
      </c>
      <c r="D199" s="211" t="str">
        <f>'Outsourced Scope 3'!B157</f>
        <v>Food and drink</v>
      </c>
      <c r="E199" s="208">
        <f>IF('Outsourced Scope 3'!H157="Enter Consumption Figure",0,'Outsourced Scope 3'!H157)</f>
        <v>0</v>
      </c>
      <c r="F199" s="36">
        <f t="shared" si="21"/>
        <v>0</v>
      </c>
      <c r="G199" s="37">
        <f t="shared" si="23"/>
        <v>0</v>
      </c>
    </row>
    <row r="200" spans="2:7" ht="16.149999999999999" customHeight="1" x14ac:dyDescent="0.2">
      <c r="B200" s="290"/>
      <c r="C200" s="285"/>
      <c r="D200" s="212" t="str">
        <f>'Outsourced Scope 3'!B158</f>
        <v>Electrical items - IT</v>
      </c>
      <c r="E200" s="214">
        <f>IF('Outsourced Scope 3'!H158="Enter Consumption Figure",0,'Outsourced Scope 3'!H158)</f>
        <v>0</v>
      </c>
      <c r="F200" s="41">
        <f t="shared" si="21"/>
        <v>0</v>
      </c>
      <c r="G200" s="34">
        <f t="shared" si="23"/>
        <v>0</v>
      </c>
    </row>
    <row r="201" spans="2:7" ht="16.149999999999999" customHeight="1" x14ac:dyDescent="0.2">
      <c r="B201" s="290"/>
      <c r="C201" s="285"/>
      <c r="D201" s="212" t="str">
        <f>'Outsourced Scope 3'!B159</f>
        <v>Plastics: average plastics</v>
      </c>
      <c r="E201" s="214">
        <f>IF('Outsourced Scope 3'!H159="Enter Consumption Figure",0,'Outsourced Scope 3'!H159)</f>
        <v>0</v>
      </c>
      <c r="F201" s="41">
        <f t="shared" si="21"/>
        <v>0</v>
      </c>
      <c r="G201" s="34">
        <f t="shared" si="23"/>
        <v>0</v>
      </c>
    </row>
    <row r="202" spans="2:7" ht="16.149999999999999" customHeight="1" x14ac:dyDescent="0.2">
      <c r="B202" s="290"/>
      <c r="C202" s="285"/>
      <c r="D202" s="212" t="str">
        <f>'Outsourced Scope 3'!B160</f>
        <v>Plastics: PS (incl. forming)</v>
      </c>
      <c r="E202" s="214">
        <f>IF('Outsourced Scope 3'!H160="Enter Consumption Figure",0,'Outsourced Scope 3'!H160)</f>
        <v>0</v>
      </c>
      <c r="F202" s="41">
        <f t="shared" si="21"/>
        <v>0</v>
      </c>
      <c r="G202" s="34">
        <f t="shared" si="23"/>
        <v>0</v>
      </c>
    </row>
    <row r="203" spans="2:7" ht="16.149999999999999" customHeight="1" x14ac:dyDescent="0.2">
      <c r="B203" s="290"/>
      <c r="C203" s="285"/>
      <c r="D203" s="212" t="str">
        <f>'Outsourced Scope 3'!B161</f>
        <v>Plastics: PVC (incl. forming)</v>
      </c>
      <c r="E203" s="214">
        <f>IF('Outsourced Scope 3'!H161="Enter Consumption Figure",0,'Outsourced Scope 3'!H161)</f>
        <v>0</v>
      </c>
      <c r="F203" s="41">
        <f t="shared" si="21"/>
        <v>0</v>
      </c>
      <c r="G203" s="34">
        <f t="shared" si="23"/>
        <v>0</v>
      </c>
    </row>
    <row r="204" spans="2:7" ht="16.149999999999999" customHeight="1" x14ac:dyDescent="0.2">
      <c r="B204" s="290"/>
      <c r="C204" s="285"/>
      <c r="D204" s="212" t="str">
        <f>'Outsourced Scope 3'!B162</f>
        <v>Paper and board: paper</v>
      </c>
      <c r="E204" s="214">
        <f>IF('Outsourced Scope 3'!H162="Enter Consumption Figure",0,'Outsourced Scope 3'!H162)</f>
        <v>0</v>
      </c>
      <c r="F204" s="41">
        <f t="shared" si="21"/>
        <v>0</v>
      </c>
      <c r="G204" s="34">
        <f t="shared" si="23"/>
        <v>0</v>
      </c>
    </row>
    <row r="205" spans="2:7" ht="16.149999999999999" customHeight="1" x14ac:dyDescent="0.2">
      <c r="B205" s="290"/>
      <c r="C205" s="285"/>
      <c r="D205" s="212" t="str">
        <f>'Outsourced Scope 3'!B163</f>
        <v>Other Please Specify</v>
      </c>
      <c r="E205" s="214">
        <f>IF('Outsourced Scope 3'!H163="Enter Consumption Figure",0,'Outsourced Scope 3'!H163)</f>
        <v>0</v>
      </c>
      <c r="F205" s="41">
        <f t="shared" si="21"/>
        <v>0</v>
      </c>
      <c r="G205" s="34">
        <f t="shared" si="23"/>
        <v>0</v>
      </c>
    </row>
    <row r="206" spans="2:7" ht="16.149999999999999" customHeight="1" x14ac:dyDescent="0.2">
      <c r="B206" s="290"/>
      <c r="C206" s="285"/>
      <c r="D206" s="212" t="str">
        <f>'Outsourced Scope 3'!B164</f>
        <v>Other Please Specify</v>
      </c>
      <c r="E206" s="214">
        <f>IF('Outsourced Scope 3'!H164="Enter Consumption Figure",0,'Outsourced Scope 3'!H164)</f>
        <v>0</v>
      </c>
      <c r="F206" s="41">
        <f t="shared" si="21"/>
        <v>0</v>
      </c>
      <c r="G206" s="34">
        <f t="shared" si="23"/>
        <v>0</v>
      </c>
    </row>
    <row r="207" spans="2:7" ht="16.149999999999999" customHeight="1" x14ac:dyDescent="0.2">
      <c r="B207" s="290"/>
      <c r="C207" s="285"/>
      <c r="D207" s="212" t="str">
        <f>'Outsourced Scope 3'!B165</f>
        <v>Other Please Specify</v>
      </c>
      <c r="E207" s="214">
        <f>IF('Outsourced Scope 3'!H165="Enter Consumption Figure",0,'Outsourced Scope 3'!H165)</f>
        <v>0</v>
      </c>
      <c r="F207" s="41">
        <f t="shared" si="21"/>
        <v>0</v>
      </c>
      <c r="G207" s="34">
        <f t="shared" si="23"/>
        <v>0</v>
      </c>
    </row>
    <row r="208" spans="2:7" ht="16.149999999999999" customHeight="1" thickBot="1" x14ac:dyDescent="0.25">
      <c r="B208" s="290"/>
      <c r="C208" s="286"/>
      <c r="D208" s="213" t="str">
        <f>'Outsourced Scope 3'!B166</f>
        <v>Other Please Specify</v>
      </c>
      <c r="E208" s="228">
        <f>IF('Outsourced Scope 3'!H166="Enter Consumption Figure",0,'Outsourced Scope 3'!H166)</f>
        <v>0</v>
      </c>
      <c r="F208" s="207">
        <f t="shared" si="21"/>
        <v>0</v>
      </c>
      <c r="G208" s="40">
        <f t="shared" si="23"/>
        <v>0</v>
      </c>
    </row>
    <row r="209" spans="2:7" ht="16.149999999999999" customHeight="1" x14ac:dyDescent="0.2">
      <c r="B209" s="290"/>
      <c r="C209" s="284" t="str">
        <f>'Outsourced Scope 3'!B168</f>
        <v xml:space="preserve">Waste generated from outsourced operations </v>
      </c>
      <c r="D209" s="211" t="str">
        <f>'Outsourced Scope 3'!B171</f>
        <v>Glass</v>
      </c>
      <c r="E209" s="208">
        <f>IF('Outsourced Scope 3'!H171="Enter Consumption Figure",0,'Outsourced Scope 3'!H171)</f>
        <v>0</v>
      </c>
      <c r="F209" s="36">
        <f t="shared" si="21"/>
        <v>0</v>
      </c>
      <c r="G209" s="37">
        <f t="shared" si="23"/>
        <v>0</v>
      </c>
    </row>
    <row r="210" spans="2:7" ht="16.149999999999999" customHeight="1" x14ac:dyDescent="0.2">
      <c r="B210" s="290"/>
      <c r="C210" s="285"/>
      <c r="D210" s="212" t="str">
        <f>'Outsourced Scope 3'!B172</f>
        <v>Organic: food and drink waste</v>
      </c>
      <c r="E210" s="209">
        <f>IF('Outsourced Scope 3'!H172="Enter Consumption Figure",0,'Outsourced Scope 3'!H172)</f>
        <v>0</v>
      </c>
      <c r="F210" s="38">
        <f t="shared" si="21"/>
        <v>0</v>
      </c>
      <c r="G210" s="34">
        <f t="shared" si="23"/>
        <v>0</v>
      </c>
    </row>
    <row r="211" spans="2:7" ht="16.149999999999999" customHeight="1" x14ac:dyDescent="0.2">
      <c r="B211" s="290"/>
      <c r="C211" s="285"/>
      <c r="D211" s="212" t="str">
        <f>'Outsourced Scope 3'!B173</f>
        <v>Commercial and industrial waste</v>
      </c>
      <c r="E211" s="209">
        <f>IF('Outsourced Scope 3'!H173="Enter Consumption Figure",0,'Outsourced Scope 3'!H173)</f>
        <v>0</v>
      </c>
      <c r="F211" s="38">
        <f t="shared" si="21"/>
        <v>0</v>
      </c>
      <c r="G211" s="34">
        <f t="shared" si="23"/>
        <v>0</v>
      </c>
    </row>
    <row r="212" spans="2:7" ht="16.149999999999999" customHeight="1" x14ac:dyDescent="0.2">
      <c r="B212" s="290"/>
      <c r="C212" s="285"/>
      <c r="D212" s="212" t="str">
        <f>'Outsourced Scope 3'!B174</f>
        <v>WEEE - mixed</v>
      </c>
      <c r="E212" s="209">
        <f>IF('Outsourced Scope 3'!H174="Enter Consumption Figure",0,'Outsourced Scope 3'!H174)</f>
        <v>0</v>
      </c>
      <c r="F212" s="38">
        <f t="shared" si="21"/>
        <v>0</v>
      </c>
      <c r="G212" s="34">
        <f t="shared" si="23"/>
        <v>0</v>
      </c>
    </row>
    <row r="213" spans="2:7" ht="16.149999999999999" customHeight="1" x14ac:dyDescent="0.2">
      <c r="B213" s="290"/>
      <c r="C213" s="285"/>
      <c r="D213" s="212" t="str">
        <f>'Outsourced Scope 3'!B175</f>
        <v>Metal: mixed cans</v>
      </c>
      <c r="E213" s="209">
        <f>IF('Outsourced Scope 3'!H175="Enter Consumption Figure",0,'Outsourced Scope 3'!H175)</f>
        <v>0</v>
      </c>
      <c r="F213" s="38">
        <f t="shared" si="21"/>
        <v>0</v>
      </c>
      <c r="G213" s="34">
        <f t="shared" si="23"/>
        <v>0</v>
      </c>
    </row>
    <row r="214" spans="2:7" ht="16.149999999999999" customHeight="1" x14ac:dyDescent="0.2">
      <c r="B214" s="290"/>
      <c r="C214" s="285"/>
      <c r="D214" s="212" t="str">
        <f>'Outsourced Scope 3'!B176</f>
        <v>Plastics: average plastics</v>
      </c>
      <c r="E214" s="209">
        <f>IF('Outsourced Scope 3'!H176="Enter Consumption Figure",0,'Outsourced Scope 3'!H176)</f>
        <v>0</v>
      </c>
      <c r="F214" s="38">
        <f t="shared" si="21"/>
        <v>0</v>
      </c>
      <c r="G214" s="34">
        <f t="shared" si="23"/>
        <v>0</v>
      </c>
    </row>
    <row r="215" spans="2:7" ht="16.149999999999999" customHeight="1" x14ac:dyDescent="0.2">
      <c r="B215" s="290"/>
      <c r="C215" s="285"/>
      <c r="D215" s="212" t="str">
        <f>'Outsourced Scope 3'!B177</f>
        <v>Paper and board: mixed</v>
      </c>
      <c r="E215" s="209">
        <f>IF('Outsourced Scope 3'!H177="Enter Consumption Figure",0,'Outsourced Scope 3'!H177)</f>
        <v>0</v>
      </c>
      <c r="F215" s="38">
        <f t="shared" ref="F215:F219" si="24">IFERROR((E215/$D$21),0)</f>
        <v>0</v>
      </c>
      <c r="G215" s="34">
        <f t="shared" si="23"/>
        <v>0</v>
      </c>
    </row>
    <row r="216" spans="2:7" ht="16.149999999999999" customHeight="1" x14ac:dyDescent="0.2">
      <c r="B216" s="290"/>
      <c r="C216" s="285"/>
      <c r="D216" s="212" t="str">
        <f>'Outsourced Scope 3'!B178</f>
        <v>Other Please Specify</v>
      </c>
      <c r="E216" s="209">
        <f>IF('Outsourced Scope 3'!H178="Enter Consumption Figure",0,'Outsourced Scope 3'!H178)</f>
        <v>0</v>
      </c>
      <c r="F216" s="38">
        <f t="shared" si="24"/>
        <v>0</v>
      </c>
      <c r="G216" s="34">
        <f t="shared" si="23"/>
        <v>0</v>
      </c>
    </row>
    <row r="217" spans="2:7" ht="16.149999999999999" customHeight="1" x14ac:dyDescent="0.2">
      <c r="B217" s="290"/>
      <c r="C217" s="285"/>
      <c r="D217" s="212" t="str">
        <f>'Outsourced Scope 3'!B179</f>
        <v>Other Please Specify</v>
      </c>
      <c r="E217" s="209">
        <f>IF('Outsourced Scope 3'!H179="Enter Consumption Figure",0,'Outsourced Scope 3'!H179)</f>
        <v>0</v>
      </c>
      <c r="F217" s="38">
        <f t="shared" si="24"/>
        <v>0</v>
      </c>
      <c r="G217" s="34">
        <f t="shared" si="23"/>
        <v>0</v>
      </c>
    </row>
    <row r="218" spans="2:7" ht="16.149999999999999" customHeight="1" x14ac:dyDescent="0.2">
      <c r="B218" s="290"/>
      <c r="C218" s="285"/>
      <c r="D218" s="212" t="str">
        <f>'Outsourced Scope 3'!B180</f>
        <v>Other Please Specify</v>
      </c>
      <c r="E218" s="209">
        <f>IF('Outsourced Scope 3'!H180="Enter Consumption Figure",0,'Outsourced Scope 3'!H180)</f>
        <v>0</v>
      </c>
      <c r="F218" s="38">
        <f t="shared" si="24"/>
        <v>0</v>
      </c>
      <c r="G218" s="34">
        <f t="shared" si="23"/>
        <v>0</v>
      </c>
    </row>
    <row r="219" spans="2:7" ht="16.149999999999999" customHeight="1" thickBot="1" x14ac:dyDescent="0.25">
      <c r="B219" s="291"/>
      <c r="C219" s="286"/>
      <c r="D219" s="213" t="str">
        <f>'Outsourced Scope 3'!B181</f>
        <v>Other Please Specify</v>
      </c>
      <c r="E219" s="215">
        <f>IF('Outsourced Scope 3'!H181="Enter Consumption Figure",0,'Outsourced Scope 3'!H181)</f>
        <v>0</v>
      </c>
      <c r="F219" s="39">
        <f t="shared" si="24"/>
        <v>0</v>
      </c>
      <c r="G219" s="40">
        <f t="shared" si="23"/>
        <v>0</v>
      </c>
    </row>
    <row r="222" spans="2:7" ht="15" x14ac:dyDescent="0.2">
      <c r="B222" s="30" t="s">
        <v>554</v>
      </c>
      <c r="C222" s="31"/>
      <c r="D222" s="31"/>
    </row>
    <row r="223" spans="2:7" x14ac:dyDescent="0.2">
      <c r="B223" s="280" t="s">
        <v>613</v>
      </c>
      <c r="C223" s="280"/>
      <c r="D223" s="280"/>
    </row>
  </sheetData>
  <mergeCells count="27">
    <mergeCell ref="B11:B13"/>
    <mergeCell ref="C34:C41"/>
    <mergeCell ref="B26:B68"/>
    <mergeCell ref="B22:C22"/>
    <mergeCell ref="B15:B21"/>
    <mergeCell ref="C26:C33"/>
    <mergeCell ref="C42:C68"/>
    <mergeCell ref="C69:C70"/>
    <mergeCell ref="C96:C122"/>
    <mergeCell ref="B83:B126"/>
    <mergeCell ref="C83:C95"/>
    <mergeCell ref="C79:C82"/>
    <mergeCell ref="C71:C78"/>
    <mergeCell ref="B69:B82"/>
    <mergeCell ref="B223:D223"/>
    <mergeCell ref="H104:J104"/>
    <mergeCell ref="C150:C153"/>
    <mergeCell ref="C154:C157"/>
    <mergeCell ref="C158:C184"/>
    <mergeCell ref="C186:C198"/>
    <mergeCell ref="C125:C126"/>
    <mergeCell ref="C123:C124"/>
    <mergeCell ref="C127:C136"/>
    <mergeCell ref="C137:C149"/>
    <mergeCell ref="C199:C208"/>
    <mergeCell ref="C209:C219"/>
    <mergeCell ref="B150:B219"/>
  </mergeCells>
  <conditionalFormatting sqref="D71:D74">
    <cfRule type="duplicateValues" dxfId="2" priority="3"/>
  </conditionalFormatting>
  <conditionalFormatting sqref="D75:D78">
    <cfRule type="duplicateValues" dxfId="1" priority="2"/>
  </conditionalFormatting>
  <conditionalFormatting sqref="D79:D8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34F2-6C64-4960-978F-263F5B80E148}">
  <sheetPr>
    <tabColor rgb="FFCFDB00"/>
  </sheetPr>
  <dimension ref="A1:BA420"/>
  <sheetViews>
    <sheetView showGridLines="0" topLeftCell="A19" zoomScale="80" zoomScaleNormal="80" workbookViewId="0">
      <selection activeCell="A40" sqref="A40"/>
    </sheetView>
  </sheetViews>
  <sheetFormatPr defaultColWidth="8.75" defaultRowHeight="14.25" x14ac:dyDescent="0.2"/>
  <cols>
    <col min="1" max="16384" width="8.75" style="11"/>
  </cols>
  <sheetData>
    <row r="1" spans="1:36" s="10" customFormat="1" x14ac:dyDescent="0.2"/>
    <row r="2" spans="1:36" s="10" customFormat="1" x14ac:dyDescent="0.2"/>
    <row r="3" spans="1:36" s="10" customFormat="1" x14ac:dyDescent="0.2"/>
    <row r="4" spans="1:36" s="10" customFormat="1" x14ac:dyDescent="0.2">
      <c r="F4" s="11"/>
      <c r="G4" s="11"/>
      <c r="H4" s="11"/>
    </row>
    <row r="5" spans="1:36" s="10" customFormat="1" x14ac:dyDescent="0.2">
      <c r="F5" s="11"/>
      <c r="G5" s="11"/>
      <c r="H5" s="11"/>
    </row>
    <row r="6" spans="1:36" x14ac:dyDescent="0.2">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x14ac:dyDescent="0.2">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x14ac:dyDescent="0.2">
      <c r="A8" s="27"/>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5" x14ac:dyDescent="0.25">
      <c r="A9" s="27"/>
      <c r="B9" s="32" t="s">
        <v>504</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5" x14ac:dyDescent="0.25">
      <c r="A10" s="27"/>
      <c r="B10" s="32"/>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5" x14ac:dyDescent="0.25">
      <c r="A11" s="27"/>
      <c r="B11" s="32"/>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5" x14ac:dyDescent="0.25">
      <c r="A12" s="27"/>
      <c r="B12" s="32"/>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5" x14ac:dyDescent="0.25">
      <c r="A13" s="27"/>
      <c r="B13" s="32"/>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5" x14ac:dyDescent="0.25">
      <c r="A14" s="27"/>
      <c r="B14" s="32"/>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5" x14ac:dyDescent="0.25">
      <c r="A15" s="27"/>
      <c r="B15" s="32"/>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5" x14ac:dyDescent="0.25">
      <c r="A16" s="27"/>
      <c r="B16" s="3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5" x14ac:dyDescent="0.25">
      <c r="A17" s="27"/>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5" x14ac:dyDescent="0.25">
      <c r="A18" s="27"/>
      <c r="B18" s="32"/>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5" x14ac:dyDescent="0.25">
      <c r="A19" s="27"/>
      <c r="B19" s="32"/>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5" x14ac:dyDescent="0.25">
      <c r="A20" s="27"/>
      <c r="B20" s="32"/>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5" x14ac:dyDescent="0.25">
      <c r="A21" s="27"/>
      <c r="B21" s="32"/>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5" x14ac:dyDescent="0.25">
      <c r="A22" s="27"/>
      <c r="B22" s="32"/>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5" x14ac:dyDescent="0.25">
      <c r="A23" s="27"/>
      <c r="B23" s="32"/>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ht="15" x14ac:dyDescent="0.25">
      <c r="A24" s="27"/>
      <c r="B24" s="32"/>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ht="15" x14ac:dyDescent="0.25">
      <c r="A25" s="27"/>
      <c r="B25" s="3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2">
      <c r="A26" s="27"/>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2">
      <c r="A27" s="27"/>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2">
      <c r="A28" s="27"/>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2">
      <c r="A29" s="27"/>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2">
      <c r="A30" s="27"/>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2">
      <c r="A31" s="27"/>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2">
      <c r="A32" s="27"/>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2">
      <c r="A33" s="27"/>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2">
      <c r="A34" s="27"/>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2">
      <c r="A35" s="27"/>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ht="15" x14ac:dyDescent="0.25">
      <c r="A36" s="27"/>
      <c r="B36" s="32" t="s">
        <v>501</v>
      </c>
      <c r="C36" s="32"/>
      <c r="D36" s="32"/>
      <c r="E36" s="32"/>
      <c r="F36" s="32"/>
      <c r="G36" s="32"/>
      <c r="H36" s="32"/>
      <c r="K36" s="8"/>
      <c r="L36" s="8"/>
      <c r="N36" s="32"/>
      <c r="O36" s="32"/>
      <c r="P36" s="32"/>
      <c r="Q36" s="32"/>
      <c r="R36" s="32"/>
      <c r="S36" s="32"/>
      <c r="V36" s="26"/>
      <c r="W36" s="26"/>
      <c r="AA36" s="32"/>
      <c r="AB36" s="32"/>
      <c r="AC36" s="32"/>
      <c r="AD36" s="32"/>
      <c r="AE36" s="32"/>
      <c r="AF36" s="32"/>
      <c r="AG36" s="26"/>
      <c r="AH36" s="26"/>
      <c r="AI36" s="26"/>
      <c r="AJ36" s="26"/>
    </row>
    <row r="37" spans="1:36" x14ac:dyDescent="0.2">
      <c r="A37" s="2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2">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2">
      <c r="A39" s="27"/>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2">
      <c r="A40" s="27"/>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x14ac:dyDescent="0.2">
      <c r="A41" s="27"/>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x14ac:dyDescent="0.2">
      <c r="A42" s="27"/>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x14ac:dyDescent="0.2">
      <c r="A43" s="27"/>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x14ac:dyDescent="0.2">
      <c r="A44" s="27"/>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x14ac:dyDescent="0.2">
      <c r="A45" s="27"/>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x14ac:dyDescent="0.2">
      <c r="A46" s="27"/>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x14ac:dyDescent="0.2">
      <c r="A47" s="27"/>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x14ac:dyDescent="0.2">
      <c r="A48" s="27"/>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53" x14ac:dyDescent="0.2">
      <c r="A49" s="2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53" x14ac:dyDescent="0.2">
      <c r="A50" s="27"/>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53" x14ac:dyDescent="0.2">
      <c r="A51" s="27"/>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53" x14ac:dyDescent="0.2">
      <c r="A52" s="27"/>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53" x14ac:dyDescent="0.2">
      <c r="A53" s="27"/>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53" x14ac:dyDescent="0.2">
      <c r="A54" s="27"/>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53" x14ac:dyDescent="0.2">
      <c r="A55" s="27"/>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53" x14ac:dyDescent="0.2">
      <c r="A56" s="27"/>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53" x14ac:dyDescent="0.2">
      <c r="A57" s="27"/>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53" x14ac:dyDescent="0.2">
      <c r="A58" s="27"/>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53" x14ac:dyDescent="0.2">
      <c r="A59" s="27"/>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53" x14ac:dyDescent="0.2">
      <c r="A60" s="27"/>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53" x14ac:dyDescent="0.2">
      <c r="A61" s="27"/>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53" x14ac:dyDescent="0.2">
      <c r="A62" s="27"/>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53" ht="15" x14ac:dyDescent="0.25">
      <c r="A63" s="27"/>
      <c r="B63" s="32" t="s">
        <v>583</v>
      </c>
      <c r="C63" s="32"/>
      <c r="D63" s="32"/>
      <c r="E63" s="32"/>
      <c r="F63" s="32"/>
      <c r="G63" s="32"/>
      <c r="H63" s="32"/>
      <c r="K63" s="9"/>
      <c r="L63" s="9"/>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53" ht="15" x14ac:dyDescent="0.25">
      <c r="A64" s="27"/>
      <c r="B64" s="26"/>
      <c r="C64" s="26"/>
      <c r="D64" s="26"/>
      <c r="E64" s="26"/>
      <c r="F64" s="26"/>
      <c r="G64" s="26"/>
      <c r="H64" s="26"/>
      <c r="I64" s="26"/>
      <c r="J64" s="26"/>
      <c r="K64" s="26"/>
      <c r="L64" s="26"/>
      <c r="N64" s="32"/>
      <c r="O64" s="32"/>
      <c r="P64" s="32"/>
      <c r="Q64" s="32"/>
      <c r="R64" s="32"/>
      <c r="S64" s="32"/>
      <c r="V64" s="26"/>
      <c r="W64" s="26"/>
      <c r="X64" s="26"/>
      <c r="Y64" s="26"/>
      <c r="Z64" s="26"/>
      <c r="AA64" s="26"/>
      <c r="AB64" s="26"/>
      <c r="AC64" s="26"/>
      <c r="AD64" s="26"/>
      <c r="AE64" s="26"/>
      <c r="AF64" s="26"/>
      <c r="AG64" s="26"/>
      <c r="AH64" s="26"/>
      <c r="AI64" s="26"/>
      <c r="AJ64" s="26"/>
      <c r="AS64" s="26"/>
      <c r="AT64" s="26"/>
      <c r="AU64" s="26"/>
      <c r="AV64" s="26"/>
      <c r="AW64" s="26"/>
      <c r="AX64" s="26"/>
      <c r="AY64" s="26"/>
      <c r="AZ64" s="26"/>
      <c r="BA64" s="26"/>
    </row>
    <row r="65" spans="1:53" x14ac:dyDescent="0.2">
      <c r="A65" s="27"/>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O65" s="26"/>
      <c r="AP65" s="26"/>
      <c r="AQ65" s="26"/>
      <c r="AR65" s="26"/>
      <c r="AS65" s="26"/>
      <c r="AT65" s="26"/>
      <c r="AU65" s="26"/>
      <c r="AV65" s="26"/>
      <c r="AW65" s="26"/>
      <c r="AX65" s="26"/>
      <c r="AY65" s="26"/>
      <c r="AZ65" s="26"/>
      <c r="BA65" s="26"/>
    </row>
    <row r="66" spans="1:53" x14ac:dyDescent="0.2">
      <c r="A66" s="27"/>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O66" s="26"/>
      <c r="AP66" s="26"/>
      <c r="AQ66" s="26"/>
      <c r="AR66" s="26"/>
      <c r="AS66" s="26"/>
      <c r="AT66" s="26"/>
      <c r="AU66" s="26"/>
      <c r="AV66" s="26"/>
      <c r="AW66" s="26"/>
      <c r="AX66" s="26"/>
      <c r="AY66" s="26"/>
      <c r="AZ66" s="26"/>
      <c r="BA66" s="26"/>
    </row>
    <row r="67" spans="1:53" x14ac:dyDescent="0.2">
      <c r="A67" s="27"/>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O67" s="26"/>
      <c r="AP67" s="26"/>
      <c r="AQ67" s="26"/>
      <c r="AR67" s="26"/>
      <c r="AS67" s="26"/>
      <c r="AT67" s="26"/>
      <c r="AU67" s="26"/>
      <c r="AV67" s="26"/>
      <c r="AW67" s="26"/>
      <c r="AX67" s="26"/>
      <c r="AY67" s="26"/>
      <c r="AZ67" s="26"/>
      <c r="BA67" s="26"/>
    </row>
    <row r="68" spans="1:53" x14ac:dyDescent="0.2">
      <c r="A68" s="27"/>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O68" s="26"/>
      <c r="AP68" s="26"/>
      <c r="AQ68" s="26"/>
      <c r="AR68" s="26"/>
      <c r="AS68" s="26"/>
      <c r="AT68" s="26"/>
      <c r="AU68" s="26"/>
      <c r="AV68" s="26"/>
      <c r="AW68" s="26"/>
      <c r="AX68" s="26"/>
      <c r="AY68" s="26"/>
      <c r="AZ68" s="26"/>
      <c r="BA68" s="26"/>
    </row>
    <row r="69" spans="1:53" x14ac:dyDescent="0.2">
      <c r="A69" s="27"/>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O69" s="26"/>
      <c r="AP69" s="26"/>
      <c r="AQ69" s="26"/>
      <c r="AR69" s="26"/>
      <c r="AS69" s="26"/>
      <c r="AT69" s="26"/>
      <c r="AU69" s="26"/>
      <c r="AV69" s="26"/>
      <c r="AW69" s="26"/>
      <c r="AX69" s="26"/>
      <c r="AY69" s="26"/>
      <c r="AZ69" s="26"/>
      <c r="BA69" s="26"/>
    </row>
    <row r="70" spans="1:53" x14ac:dyDescent="0.2">
      <c r="A70" s="27"/>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O70" s="26"/>
      <c r="AP70" s="26"/>
      <c r="AQ70" s="26"/>
      <c r="AR70" s="26"/>
      <c r="AS70" s="26"/>
      <c r="AT70" s="26"/>
      <c r="AU70" s="26"/>
      <c r="AV70" s="26"/>
      <c r="AW70" s="26"/>
      <c r="AX70" s="26"/>
      <c r="AY70" s="26"/>
      <c r="AZ70" s="26"/>
      <c r="BA70" s="26"/>
    </row>
    <row r="71" spans="1:53" x14ac:dyDescent="0.2">
      <c r="A71" s="27"/>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O71" s="26"/>
      <c r="AP71" s="26"/>
      <c r="AQ71" s="26"/>
      <c r="AR71" s="26"/>
      <c r="AS71" s="26"/>
      <c r="AT71" s="26"/>
      <c r="AU71" s="26"/>
      <c r="AV71" s="26"/>
      <c r="AW71" s="26"/>
      <c r="AX71" s="26"/>
      <c r="AY71" s="26"/>
      <c r="AZ71" s="26"/>
      <c r="BA71" s="26"/>
    </row>
    <row r="72" spans="1:53" x14ac:dyDescent="0.2">
      <c r="A72" s="27"/>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O72" s="26"/>
      <c r="AP72" s="26"/>
      <c r="AQ72" s="26"/>
      <c r="AR72" s="26"/>
      <c r="AS72" s="26"/>
      <c r="AT72" s="26"/>
      <c r="AU72" s="26"/>
      <c r="AV72" s="26"/>
      <c r="AW72" s="26"/>
      <c r="AX72" s="26"/>
      <c r="AY72" s="26"/>
      <c r="AZ72" s="26"/>
      <c r="BA72" s="26"/>
    </row>
    <row r="73" spans="1:53" x14ac:dyDescent="0.2">
      <c r="A73" s="27"/>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O73" s="26"/>
      <c r="AP73" s="26"/>
      <c r="AQ73" s="26"/>
      <c r="AR73" s="26"/>
      <c r="AS73" s="26"/>
      <c r="AT73" s="26"/>
      <c r="AU73" s="26"/>
      <c r="AV73" s="26"/>
      <c r="AW73" s="26"/>
      <c r="AX73" s="26"/>
      <c r="AY73" s="26"/>
      <c r="AZ73" s="26"/>
      <c r="BA73" s="26"/>
    </row>
    <row r="74" spans="1:53" ht="15" x14ac:dyDescent="0.25">
      <c r="A74" s="27"/>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T74" s="6"/>
    </row>
    <row r="75" spans="1:53" x14ac:dyDescent="0.2">
      <c r="A75" s="27"/>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O75" s="26"/>
      <c r="AP75" s="26"/>
      <c r="AQ75" s="26"/>
      <c r="AR75" s="26"/>
      <c r="AS75" s="26"/>
      <c r="AT75" s="26"/>
      <c r="AU75" s="26"/>
      <c r="AV75" s="26"/>
      <c r="AW75" s="26"/>
      <c r="AX75" s="26"/>
      <c r="AY75" s="26"/>
      <c r="AZ75" s="26"/>
      <c r="BA75" s="26"/>
    </row>
    <row r="76" spans="1:53" x14ac:dyDescent="0.2">
      <c r="A76" s="27"/>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53" ht="15" x14ac:dyDescent="0.25">
      <c r="A77" s="27"/>
      <c r="B77" s="26"/>
      <c r="C77" s="26"/>
      <c r="D77" s="26"/>
      <c r="E77" s="26"/>
      <c r="F77" s="26"/>
      <c r="G77" s="26"/>
      <c r="H77" s="26"/>
      <c r="I77" s="26"/>
      <c r="J77" s="26"/>
      <c r="K77" s="26"/>
      <c r="L77" s="26"/>
      <c r="M77" s="26"/>
      <c r="N77" s="26"/>
      <c r="O77" s="26"/>
      <c r="P77" s="26"/>
      <c r="Q77" s="26"/>
      <c r="R77" s="26"/>
      <c r="S77" s="26"/>
      <c r="T77" s="26"/>
      <c r="U77" s="26"/>
      <c r="V77" s="26"/>
      <c r="W77" s="26"/>
      <c r="X77" s="26"/>
      <c r="Y77" s="6"/>
      <c r="Z77" s="26"/>
      <c r="AA77" s="26"/>
      <c r="AB77" s="26"/>
      <c r="AC77" s="26"/>
      <c r="AD77" s="26"/>
      <c r="AE77" s="26"/>
      <c r="AF77" s="26"/>
      <c r="AG77" s="26"/>
      <c r="AH77" s="26"/>
      <c r="AI77" s="26"/>
      <c r="AJ77" s="26"/>
    </row>
    <row r="78" spans="1:53" x14ac:dyDescent="0.2">
      <c r="A78" s="27"/>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53" x14ac:dyDescent="0.2">
      <c r="A79" s="27"/>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53" x14ac:dyDescent="0.2">
      <c r="A80" s="27"/>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x14ac:dyDescent="0.2">
      <c r="A81" s="27"/>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x14ac:dyDescent="0.2">
      <c r="A82" s="27"/>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x14ac:dyDescent="0.2">
      <c r="A83" s="27"/>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x14ac:dyDescent="0.2">
      <c r="A84" s="27"/>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x14ac:dyDescent="0.2">
      <c r="A85" s="27"/>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x14ac:dyDescent="0.2">
      <c r="A86" s="27"/>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x14ac:dyDescent="0.2">
      <c r="A87" s="27"/>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x14ac:dyDescent="0.2">
      <c r="A88" s="27"/>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x14ac:dyDescent="0.2">
      <c r="A89" s="27"/>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5" x14ac:dyDescent="0.25">
      <c r="A90" s="27"/>
      <c r="B90" s="32" t="s">
        <v>502</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x14ac:dyDescent="0.2">
      <c r="A91" s="27"/>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x14ac:dyDescent="0.2">
      <c r="A92" s="27"/>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x14ac:dyDescent="0.2">
      <c r="A93" s="27"/>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x14ac:dyDescent="0.2">
      <c r="A94" s="27"/>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x14ac:dyDescent="0.2">
      <c r="A95" s="27"/>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x14ac:dyDescent="0.2">
      <c r="A96" s="27"/>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x14ac:dyDescent="0.2">
      <c r="A97" s="27"/>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x14ac:dyDescent="0.2">
      <c r="A98" s="27"/>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x14ac:dyDescent="0.2">
      <c r="A99" s="27"/>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x14ac:dyDescent="0.2">
      <c r="A100" s="27"/>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x14ac:dyDescent="0.2">
      <c r="A101" s="27"/>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x14ac:dyDescent="0.2">
      <c r="A102" s="27"/>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x14ac:dyDescent="0.2">
      <c r="A103" s="27"/>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x14ac:dyDescent="0.2">
      <c r="A104" s="27"/>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x14ac:dyDescent="0.2">
      <c r="A105" s="27"/>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x14ac:dyDescent="0.2">
      <c r="A106" s="27"/>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x14ac:dyDescent="0.2">
      <c r="A107" s="27"/>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x14ac:dyDescent="0.2">
      <c r="A108" s="27"/>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x14ac:dyDescent="0.2">
      <c r="A109" s="27"/>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x14ac:dyDescent="0.2">
      <c r="A110" s="27"/>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x14ac:dyDescent="0.2">
      <c r="A111" s="27"/>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x14ac:dyDescent="0.2">
      <c r="A112" s="27"/>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x14ac:dyDescent="0.2">
      <c r="A113" s="27"/>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x14ac:dyDescent="0.2">
      <c r="A114" s="27"/>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x14ac:dyDescent="0.2">
      <c r="A115" s="27"/>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x14ac:dyDescent="0.2">
      <c r="A116" s="27"/>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x14ac:dyDescent="0.2">
      <c r="A117" s="27"/>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x14ac:dyDescent="0.2">
      <c r="A118" s="27"/>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x14ac:dyDescent="0.2">
      <c r="A119" s="27"/>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x14ac:dyDescent="0.2">
      <c r="A120" s="27"/>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x14ac:dyDescent="0.2">
      <c r="A121" s="27"/>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x14ac:dyDescent="0.2">
      <c r="A122" s="27"/>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ht="15" x14ac:dyDescent="0.25">
      <c r="A123" s="27"/>
      <c r="B123" s="32" t="s">
        <v>503</v>
      </c>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x14ac:dyDescent="0.2">
      <c r="A124" s="27"/>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x14ac:dyDescent="0.2">
      <c r="A125" s="27"/>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x14ac:dyDescent="0.2">
      <c r="A126" s="27"/>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x14ac:dyDescent="0.2">
      <c r="A127" s="27"/>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x14ac:dyDescent="0.2">
      <c r="A128" s="27"/>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x14ac:dyDescent="0.2">
      <c r="A129" s="27"/>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x14ac:dyDescent="0.2">
      <c r="A130" s="27"/>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x14ac:dyDescent="0.2">
      <c r="A131" s="27"/>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x14ac:dyDescent="0.2">
      <c r="A132" s="27"/>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x14ac:dyDescent="0.2">
      <c r="A133" s="27"/>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x14ac:dyDescent="0.2">
      <c r="A134" s="27"/>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x14ac:dyDescent="0.2">
      <c r="A135" s="27"/>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x14ac:dyDescent="0.2">
      <c r="A136" s="27"/>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x14ac:dyDescent="0.2">
      <c r="A137" s="27"/>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x14ac:dyDescent="0.2">
      <c r="A138" s="27"/>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5" x14ac:dyDescent="0.25">
      <c r="A139" s="27"/>
      <c r="B139" s="32"/>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ht="15" x14ac:dyDescent="0.25">
      <c r="A140" s="27"/>
      <c r="B140" s="32"/>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ht="15" x14ac:dyDescent="0.25">
      <c r="A141" s="27"/>
      <c r="B141" s="32"/>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ht="15" x14ac:dyDescent="0.25">
      <c r="A142" s="27"/>
      <c r="B142" s="32"/>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ht="15" x14ac:dyDescent="0.25">
      <c r="A143" s="27"/>
      <c r="B143" s="32"/>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ht="15" x14ac:dyDescent="0.25">
      <c r="A144" s="27"/>
      <c r="B144" s="32"/>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ht="15" x14ac:dyDescent="0.25">
      <c r="A145" s="27"/>
      <c r="B145" s="32"/>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ht="15" x14ac:dyDescent="0.25">
      <c r="A146" s="27"/>
      <c r="B146" s="32"/>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ht="15" x14ac:dyDescent="0.25">
      <c r="A147" s="27"/>
      <c r="B147" s="32"/>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ht="15" x14ac:dyDescent="0.25">
      <c r="A148" s="27"/>
      <c r="B148" s="32"/>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ht="15" x14ac:dyDescent="0.25">
      <c r="A149" s="27"/>
      <c r="B149" s="32"/>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ht="15" x14ac:dyDescent="0.25">
      <c r="A150" s="27"/>
      <c r="B150" s="304" t="s">
        <v>607</v>
      </c>
      <c r="C150" s="304"/>
      <c r="D150" s="304"/>
      <c r="E150" s="304"/>
      <c r="F150" s="304"/>
      <c r="G150" s="304"/>
      <c r="H150" s="304"/>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x14ac:dyDescent="0.2">
      <c r="A151" s="27"/>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ht="15" x14ac:dyDescent="0.25">
      <c r="A152" s="27"/>
      <c r="B152" s="32"/>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ht="15" x14ac:dyDescent="0.25">
      <c r="A153" s="27"/>
      <c r="B153" s="32"/>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ht="15" x14ac:dyDescent="0.25">
      <c r="A154" s="27"/>
      <c r="B154" s="32"/>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5" x14ac:dyDescent="0.25">
      <c r="A155" s="27"/>
      <c r="B155" s="32"/>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5" x14ac:dyDescent="0.25">
      <c r="A156" s="27"/>
      <c r="B156" s="32"/>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5" x14ac:dyDescent="0.25">
      <c r="A157" s="27"/>
      <c r="B157" s="32"/>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5" x14ac:dyDescent="0.25">
      <c r="A158" s="27"/>
      <c r="B158" s="32"/>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5" x14ac:dyDescent="0.25">
      <c r="A159" s="27"/>
      <c r="B159" s="32"/>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5" x14ac:dyDescent="0.25">
      <c r="A160" s="27"/>
      <c r="B160" s="32"/>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5" x14ac:dyDescent="0.25">
      <c r="A161" s="27"/>
      <c r="B161" s="32"/>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ht="15" x14ac:dyDescent="0.25">
      <c r="A162" s="27"/>
      <c r="B162" s="32"/>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ht="15" x14ac:dyDescent="0.25">
      <c r="A163" s="27"/>
      <c r="B163" s="32"/>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ht="15" x14ac:dyDescent="0.25">
      <c r="A164" s="27"/>
      <c r="B164" s="32"/>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ht="15" x14ac:dyDescent="0.25">
      <c r="A165" s="27"/>
      <c r="B165" s="32"/>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ht="15" x14ac:dyDescent="0.25">
      <c r="A166" s="27"/>
      <c r="B166" s="32"/>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ht="15" x14ac:dyDescent="0.25">
      <c r="A167" s="27"/>
      <c r="B167" s="32"/>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ht="15" x14ac:dyDescent="0.25">
      <c r="A168" s="27"/>
      <c r="B168" s="32"/>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ht="15" x14ac:dyDescent="0.25">
      <c r="A169" s="27"/>
      <c r="B169" s="32"/>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ht="15" x14ac:dyDescent="0.25">
      <c r="A170" s="27"/>
      <c r="B170" s="32"/>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ht="15" x14ac:dyDescent="0.25">
      <c r="A171" s="27"/>
      <c r="B171" s="32"/>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ht="15" x14ac:dyDescent="0.25">
      <c r="A172" s="27"/>
      <c r="B172" s="32"/>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ht="15" x14ac:dyDescent="0.25">
      <c r="A173" s="27"/>
      <c r="B173" s="32"/>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ht="15" x14ac:dyDescent="0.25">
      <c r="A174" s="27"/>
      <c r="B174" s="32"/>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5" x14ac:dyDescent="0.25">
      <c r="A175" s="27"/>
      <c r="B175" s="32"/>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ht="15" x14ac:dyDescent="0.25">
      <c r="A176" s="27"/>
      <c r="B176" s="32"/>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5" x14ac:dyDescent="0.25">
      <c r="A177" s="27"/>
      <c r="B177" s="32"/>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5" x14ac:dyDescent="0.25">
      <c r="A178" s="27"/>
      <c r="B178" s="32"/>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5" x14ac:dyDescent="0.25">
      <c r="A179" s="27"/>
      <c r="B179" s="32"/>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5" x14ac:dyDescent="0.25">
      <c r="A180" s="27"/>
      <c r="B180" s="304" t="s">
        <v>598</v>
      </c>
      <c r="C180" s="304"/>
      <c r="D180" s="304"/>
      <c r="E180" s="304"/>
      <c r="F180" s="304"/>
      <c r="G180" s="304"/>
      <c r="H180" s="304"/>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5" x14ac:dyDescent="0.25">
      <c r="A181" s="27"/>
      <c r="B181" s="32"/>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5" x14ac:dyDescent="0.25">
      <c r="A182" s="27"/>
      <c r="B182" s="32"/>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5" x14ac:dyDescent="0.25">
      <c r="A183" s="27"/>
      <c r="B183" s="32"/>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5" x14ac:dyDescent="0.25">
      <c r="A184" s="27"/>
      <c r="B184" s="32"/>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x14ac:dyDescent="0.2">
      <c r="B187" s="26"/>
      <c r="C187" s="26"/>
      <c r="D187" s="26"/>
      <c r="E187" s="26"/>
      <c r="F187" s="26"/>
      <c r="G187" s="26"/>
      <c r="H187" s="26"/>
      <c r="I187" s="26"/>
      <c r="J187" s="26"/>
      <c r="K187" s="26"/>
      <c r="L187" s="26"/>
    </row>
    <row r="188" spans="1:36" x14ac:dyDescent="0.2">
      <c r="B188" s="26"/>
      <c r="C188" s="26"/>
      <c r="D188" s="26"/>
      <c r="E188" s="26"/>
      <c r="F188" s="26"/>
      <c r="G188" s="26"/>
      <c r="H188" s="26"/>
      <c r="I188" s="26"/>
      <c r="J188" s="26"/>
      <c r="K188" s="26"/>
      <c r="L188" s="26"/>
    </row>
    <row r="189" spans="1:36" x14ac:dyDescent="0.2">
      <c r="B189" s="26"/>
      <c r="C189" s="26"/>
      <c r="D189" s="26"/>
      <c r="E189" s="26"/>
      <c r="F189" s="26"/>
      <c r="G189" s="26"/>
      <c r="H189" s="26"/>
      <c r="I189" s="26"/>
      <c r="J189" s="26"/>
      <c r="K189" s="26"/>
      <c r="L189" s="26"/>
    </row>
    <row r="190" spans="1:36" x14ac:dyDescent="0.2">
      <c r="B190" s="26"/>
      <c r="C190" s="26"/>
      <c r="D190" s="26"/>
      <c r="E190" s="26"/>
      <c r="F190" s="26"/>
      <c r="G190" s="26"/>
      <c r="H190" s="26"/>
      <c r="I190" s="26"/>
      <c r="J190" s="26"/>
      <c r="K190" s="26"/>
      <c r="L190" s="26"/>
    </row>
    <row r="191" spans="1:36" x14ac:dyDescent="0.2">
      <c r="B191" s="26"/>
      <c r="C191" s="26"/>
      <c r="D191" s="26"/>
      <c r="E191" s="26"/>
      <c r="F191" s="26"/>
      <c r="G191" s="26"/>
      <c r="H191" s="26"/>
      <c r="I191" s="26"/>
      <c r="J191" s="26"/>
      <c r="K191" s="26"/>
      <c r="L191" s="26"/>
    </row>
    <row r="192" spans="1:36" x14ac:dyDescent="0.2">
      <c r="B192" s="26"/>
      <c r="C192" s="26"/>
      <c r="D192" s="26"/>
      <c r="E192" s="26"/>
      <c r="F192" s="26"/>
      <c r="G192" s="26"/>
      <c r="H192" s="26"/>
      <c r="I192" s="26"/>
      <c r="J192" s="26"/>
      <c r="K192" s="26"/>
      <c r="L192" s="26"/>
    </row>
    <row r="193" spans="2:12" x14ac:dyDescent="0.2">
      <c r="B193" s="26"/>
      <c r="C193" s="26"/>
      <c r="D193" s="26"/>
      <c r="E193" s="26"/>
      <c r="F193" s="26"/>
      <c r="G193" s="26"/>
      <c r="H193" s="26"/>
      <c r="I193" s="26"/>
      <c r="J193" s="26"/>
      <c r="K193" s="26"/>
      <c r="L193" s="26"/>
    </row>
    <row r="194" spans="2:12" x14ac:dyDescent="0.2">
      <c r="B194" s="26"/>
      <c r="C194" s="26"/>
      <c r="D194" s="26"/>
      <c r="E194" s="26"/>
      <c r="F194" s="26"/>
      <c r="G194" s="26"/>
      <c r="H194" s="26"/>
      <c r="I194" s="26"/>
      <c r="J194" s="26"/>
      <c r="K194" s="26"/>
      <c r="L194" s="26"/>
    </row>
    <row r="195" spans="2:12" x14ac:dyDescent="0.2">
      <c r="B195" s="26"/>
      <c r="C195" s="26"/>
      <c r="D195" s="26"/>
      <c r="E195" s="26"/>
      <c r="F195" s="26"/>
      <c r="G195" s="26"/>
      <c r="H195" s="26"/>
      <c r="I195" s="26"/>
      <c r="J195" s="26"/>
      <c r="K195" s="26"/>
      <c r="L195" s="26"/>
    </row>
    <row r="196" spans="2:12" x14ac:dyDescent="0.2">
      <c r="B196" s="26"/>
      <c r="C196" s="26"/>
      <c r="D196" s="26"/>
      <c r="E196" s="26"/>
      <c r="F196" s="26"/>
      <c r="G196" s="26"/>
      <c r="H196" s="26"/>
      <c r="I196" s="26"/>
      <c r="J196" s="26"/>
      <c r="K196" s="26"/>
      <c r="L196" s="26"/>
    </row>
    <row r="197" spans="2:12" x14ac:dyDescent="0.2">
      <c r="B197" s="26"/>
      <c r="C197" s="26"/>
      <c r="D197" s="26"/>
      <c r="E197" s="26"/>
      <c r="F197" s="26"/>
      <c r="G197" s="26"/>
      <c r="H197" s="26"/>
      <c r="I197" s="26"/>
      <c r="J197" s="26"/>
      <c r="K197" s="26"/>
      <c r="L197" s="26"/>
    </row>
    <row r="198" spans="2:12" x14ac:dyDescent="0.2">
      <c r="B198" s="26"/>
      <c r="C198" s="26"/>
      <c r="D198" s="26"/>
      <c r="E198" s="26"/>
      <c r="F198" s="26"/>
      <c r="G198" s="26"/>
      <c r="H198" s="26"/>
      <c r="I198" s="26"/>
      <c r="J198" s="26"/>
      <c r="K198" s="26"/>
      <c r="L198" s="26"/>
    </row>
    <row r="199" spans="2:12" x14ac:dyDescent="0.2">
      <c r="B199" s="26"/>
      <c r="C199" s="26"/>
      <c r="D199" s="26"/>
      <c r="E199" s="26"/>
      <c r="F199" s="26"/>
      <c r="G199" s="26"/>
      <c r="H199" s="26"/>
      <c r="I199" s="26"/>
      <c r="J199" s="26"/>
      <c r="K199" s="26"/>
      <c r="L199" s="26"/>
    </row>
    <row r="200" spans="2:12" x14ac:dyDescent="0.2">
      <c r="B200" s="26"/>
      <c r="C200" s="26"/>
      <c r="D200" s="26"/>
      <c r="E200" s="26"/>
      <c r="F200" s="26"/>
      <c r="G200" s="26"/>
      <c r="H200" s="26"/>
      <c r="I200" s="26"/>
      <c r="J200" s="26"/>
      <c r="K200" s="26"/>
      <c r="L200" s="26"/>
    </row>
    <row r="201" spans="2:12" x14ac:dyDescent="0.2">
      <c r="B201" s="26"/>
      <c r="C201" s="26"/>
      <c r="D201" s="26"/>
      <c r="E201" s="26"/>
      <c r="F201" s="26"/>
      <c r="G201" s="26"/>
      <c r="H201" s="26"/>
      <c r="I201" s="26"/>
      <c r="J201" s="26"/>
      <c r="K201" s="26"/>
      <c r="L201" s="26"/>
    </row>
    <row r="202" spans="2:12" x14ac:dyDescent="0.2">
      <c r="B202" s="26"/>
      <c r="C202" s="26"/>
      <c r="D202" s="26"/>
      <c r="E202" s="26"/>
      <c r="F202" s="26"/>
      <c r="G202" s="26"/>
      <c r="H202" s="26"/>
      <c r="I202" s="26"/>
      <c r="J202" s="26"/>
      <c r="K202" s="26"/>
      <c r="L202" s="26"/>
    </row>
    <row r="203" spans="2:12" x14ac:dyDescent="0.2">
      <c r="B203" s="26"/>
      <c r="C203" s="26"/>
      <c r="D203" s="26"/>
      <c r="E203" s="26"/>
      <c r="F203" s="26"/>
      <c r="G203" s="26"/>
      <c r="H203" s="26"/>
      <c r="I203" s="26"/>
      <c r="J203" s="26"/>
      <c r="K203" s="26"/>
      <c r="L203" s="26"/>
    </row>
    <row r="204" spans="2:12" x14ac:dyDescent="0.2">
      <c r="B204" s="26"/>
      <c r="C204" s="26"/>
      <c r="D204" s="26"/>
      <c r="E204" s="26"/>
      <c r="F204" s="26"/>
      <c r="G204" s="26"/>
      <c r="H204" s="26"/>
      <c r="I204" s="26"/>
      <c r="J204" s="26"/>
      <c r="K204" s="26"/>
      <c r="L204" s="26"/>
    </row>
    <row r="205" spans="2:12" x14ac:dyDescent="0.2">
      <c r="B205" s="26"/>
      <c r="C205" s="26"/>
      <c r="D205" s="26"/>
      <c r="E205" s="26"/>
      <c r="F205" s="26"/>
      <c r="G205" s="26"/>
      <c r="H205" s="26"/>
      <c r="I205" s="26"/>
      <c r="J205" s="26"/>
      <c r="K205" s="26"/>
      <c r="L205" s="26"/>
    </row>
    <row r="206" spans="2:12" x14ac:dyDescent="0.2">
      <c r="B206" s="26"/>
      <c r="C206" s="26"/>
      <c r="D206" s="26"/>
      <c r="E206" s="26"/>
      <c r="F206" s="26"/>
      <c r="G206" s="26"/>
      <c r="H206" s="26"/>
      <c r="I206" s="26"/>
      <c r="J206" s="26"/>
      <c r="K206" s="26"/>
      <c r="L206" s="26"/>
    </row>
    <row r="207" spans="2:12" x14ac:dyDescent="0.2">
      <c r="B207" s="26"/>
      <c r="C207" s="26"/>
      <c r="D207" s="26"/>
      <c r="E207" s="26"/>
      <c r="F207" s="26"/>
      <c r="G207" s="26"/>
      <c r="H207" s="26"/>
      <c r="I207" s="26"/>
      <c r="J207" s="26"/>
      <c r="K207" s="26"/>
      <c r="L207" s="26"/>
    </row>
    <row r="208" spans="2:12" x14ac:dyDescent="0.2">
      <c r="B208" s="26"/>
      <c r="C208" s="26"/>
      <c r="D208" s="26"/>
      <c r="E208" s="26"/>
      <c r="F208" s="26"/>
      <c r="G208" s="26"/>
      <c r="H208" s="26"/>
      <c r="I208" s="26"/>
      <c r="J208" s="26"/>
      <c r="K208" s="26"/>
      <c r="L208" s="26"/>
    </row>
    <row r="209" spans="2:12" x14ac:dyDescent="0.2">
      <c r="B209" s="26"/>
      <c r="C209" s="26"/>
      <c r="D209" s="26"/>
      <c r="E209" s="26"/>
      <c r="F209" s="26"/>
      <c r="G209" s="26"/>
      <c r="H209" s="26"/>
      <c r="I209" s="26"/>
      <c r="J209" s="26"/>
      <c r="K209" s="26"/>
      <c r="L209" s="26"/>
    </row>
    <row r="210" spans="2:12" ht="15" x14ac:dyDescent="0.25">
      <c r="B210" s="304" t="s">
        <v>541</v>
      </c>
      <c r="C210" s="304"/>
      <c r="D210" s="304"/>
      <c r="E210" s="304"/>
      <c r="F210" s="304"/>
      <c r="G210" s="304"/>
      <c r="H210" s="304"/>
      <c r="I210" s="26"/>
      <c r="J210" s="26"/>
      <c r="K210" s="26"/>
      <c r="L210" s="26"/>
    </row>
    <row r="211" spans="2:12" x14ac:dyDescent="0.2">
      <c r="B211" s="26"/>
      <c r="C211" s="26"/>
      <c r="D211" s="26"/>
      <c r="E211" s="26"/>
      <c r="F211" s="26"/>
      <c r="G211" s="26"/>
      <c r="H211" s="26"/>
      <c r="I211" s="26"/>
      <c r="J211" s="26"/>
      <c r="K211" s="26"/>
      <c r="L211" s="26"/>
    </row>
    <row r="212" spans="2:12" ht="15" x14ac:dyDescent="0.2">
      <c r="B212" s="30"/>
      <c r="C212" s="31"/>
      <c r="D212" s="31"/>
      <c r="E212" s="26"/>
      <c r="F212" s="26"/>
      <c r="G212" s="26"/>
      <c r="H212" s="26"/>
      <c r="I212" s="26"/>
      <c r="J212" s="26"/>
      <c r="K212" s="26"/>
      <c r="L212" s="26"/>
    </row>
    <row r="213" spans="2:12" x14ac:dyDescent="0.2">
      <c r="B213" s="280"/>
      <c r="C213" s="280"/>
      <c r="D213" s="280"/>
      <c r="E213" s="26"/>
    </row>
    <row r="240" spans="2:8" ht="15" x14ac:dyDescent="0.25">
      <c r="B240" s="304" t="s">
        <v>577</v>
      </c>
      <c r="C240" s="304"/>
      <c r="D240" s="304"/>
      <c r="E240" s="304"/>
      <c r="F240" s="304"/>
      <c r="G240" s="304"/>
      <c r="H240" s="304"/>
    </row>
    <row r="261" spans="2:18" ht="15" x14ac:dyDescent="0.2">
      <c r="P261" s="30"/>
      <c r="Q261" s="31"/>
      <c r="R261" s="31"/>
    </row>
    <row r="262" spans="2:18" x14ac:dyDescent="0.2">
      <c r="P262" s="280"/>
      <c r="Q262" s="280"/>
      <c r="R262" s="280"/>
    </row>
    <row r="270" spans="2:18" ht="15" x14ac:dyDescent="0.25">
      <c r="B270" s="32" t="s">
        <v>608</v>
      </c>
      <c r="C270" s="32"/>
      <c r="D270" s="32"/>
    </row>
    <row r="271" spans="2:18" x14ac:dyDescent="0.2">
      <c r="B271" s="280"/>
      <c r="C271" s="280"/>
      <c r="D271" s="280"/>
    </row>
    <row r="297" spans="2:4" ht="15" x14ac:dyDescent="0.25">
      <c r="B297" s="32" t="s">
        <v>609</v>
      </c>
      <c r="C297" s="32"/>
      <c r="D297" s="32"/>
    </row>
    <row r="324" spans="2:2" ht="15" x14ac:dyDescent="0.25">
      <c r="B324" s="175" t="s">
        <v>610</v>
      </c>
    </row>
    <row r="341" spans="15:15" ht="15" x14ac:dyDescent="0.25">
      <c r="O341" s="32"/>
    </row>
    <row r="357" spans="2:2" ht="15" x14ac:dyDescent="0.25">
      <c r="B357" s="175" t="s">
        <v>612</v>
      </c>
    </row>
    <row r="384" spans="2:2" ht="15" x14ac:dyDescent="0.25">
      <c r="B384" s="175" t="s">
        <v>611</v>
      </c>
    </row>
    <row r="419" spans="2:4" ht="15" x14ac:dyDescent="0.2">
      <c r="B419" s="30" t="s">
        <v>554</v>
      </c>
      <c r="C419" s="31"/>
      <c r="D419" s="31"/>
    </row>
    <row r="420" spans="2:4" x14ac:dyDescent="0.2">
      <c r="B420" s="280" t="s">
        <v>613</v>
      </c>
      <c r="C420" s="280"/>
      <c r="D420" s="280"/>
    </row>
  </sheetData>
  <mergeCells count="8">
    <mergeCell ref="B271:D271"/>
    <mergeCell ref="B240:H240"/>
    <mergeCell ref="B420:D420"/>
    <mergeCell ref="P262:R262"/>
    <mergeCell ref="B150:H150"/>
    <mergeCell ref="B213:D213"/>
    <mergeCell ref="B180:H180"/>
    <mergeCell ref="B210:H2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88CB-2512-402E-B729-20F3D2AA8DE8}">
  <sheetPr>
    <tabColor rgb="FFCFDB00"/>
  </sheetPr>
  <dimension ref="A1:L2"/>
  <sheetViews>
    <sheetView workbookViewId="0">
      <selection activeCell="E29" sqref="E29"/>
    </sheetView>
  </sheetViews>
  <sheetFormatPr defaultRowHeight="14.25" x14ac:dyDescent="0.2"/>
  <cols>
    <col min="1" max="1" width="13.75" bestFit="1" customWidth="1"/>
    <col min="2" max="2" width="12.5" bestFit="1" customWidth="1"/>
    <col min="3" max="3" width="14.25" bestFit="1" customWidth="1"/>
    <col min="4" max="4" width="7.25" bestFit="1" customWidth="1"/>
    <col min="5" max="5" width="15.75" bestFit="1" customWidth="1"/>
    <col min="6" max="6" width="22" bestFit="1" customWidth="1"/>
    <col min="7" max="7" width="14.25" bestFit="1" customWidth="1"/>
    <col min="8" max="8" width="43.75" bestFit="1" customWidth="1"/>
    <col min="9" max="9" width="39.625" bestFit="1" customWidth="1"/>
    <col min="10" max="10" width="4.75" bestFit="1" customWidth="1"/>
    <col min="11" max="11" width="35.75" bestFit="1" customWidth="1"/>
    <col min="12" max="12" width="36.5" bestFit="1" customWidth="1"/>
  </cols>
  <sheetData>
    <row r="1" spans="1:12" ht="15" x14ac:dyDescent="0.25">
      <c r="A1" s="145" t="s">
        <v>593</v>
      </c>
      <c r="B1" s="145" t="s">
        <v>550</v>
      </c>
      <c r="C1" s="145" t="s">
        <v>551</v>
      </c>
      <c r="D1" s="145" t="s">
        <v>59</v>
      </c>
      <c r="E1" s="145" t="s">
        <v>594</v>
      </c>
      <c r="F1" s="145" t="s">
        <v>34</v>
      </c>
      <c r="G1" s="145" t="s">
        <v>35</v>
      </c>
      <c r="H1" s="145" t="s">
        <v>37</v>
      </c>
      <c r="I1" s="145" t="s">
        <v>596</v>
      </c>
      <c r="J1" s="145" t="s">
        <v>36</v>
      </c>
      <c r="K1" s="145" t="s">
        <v>478</v>
      </c>
      <c r="L1" s="145" t="s">
        <v>562</v>
      </c>
    </row>
    <row r="2" spans="1:12" x14ac:dyDescent="0.2">
      <c r="A2" s="146">
        <f>Overview!C21</f>
        <v>0</v>
      </c>
      <c r="B2" s="146">
        <f>Overview!C23</f>
        <v>0</v>
      </c>
      <c r="C2" s="146">
        <f>Overview!C25</f>
        <v>0</v>
      </c>
      <c r="D2" s="146" t="str">
        <f>Overview!C15</f>
        <v>2019-20</v>
      </c>
      <c r="E2" s="146">
        <f>'Scope guidance'!D32:F32</f>
        <v>0</v>
      </c>
      <c r="F2" s="146">
        <f>IF('Scope guidance'!G39="Yes",1,0)</f>
        <v>1</v>
      </c>
      <c r="G2" s="146">
        <f>IF('Scope guidance'!G41="Yes",1,0)</f>
        <v>0</v>
      </c>
      <c r="H2" s="146">
        <f>IF('Scope guidance'!G43="Yes",1,0)</f>
        <v>0</v>
      </c>
      <c r="I2" s="146">
        <f>IF('Scope guidance'!G47="Yes",1,0)</f>
        <v>1</v>
      </c>
      <c r="J2" s="146">
        <f>IF('Scope guidance'!G52="Yes",1,0)</f>
        <v>1</v>
      </c>
      <c r="K2" s="146">
        <f>IF('Scope guidance'!G54="Yes",1,0)</f>
        <v>1</v>
      </c>
      <c r="L2" s="146">
        <f>IF('Scope guidance'!G56="Yes",1,0)</f>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A0038B107995439CFB6BB4DE7C54DF" ma:contentTypeVersion="14" ma:contentTypeDescription="Create a new document." ma:contentTypeScope="" ma:versionID="fb04805612962ef29843acf6d558cd9d">
  <xsd:schema xmlns:xsd="http://www.w3.org/2001/XMLSchema" xmlns:xs="http://www.w3.org/2001/XMLSchema" xmlns:p="http://schemas.microsoft.com/office/2006/metadata/properties" xmlns:ns3="a292a34c-58e1-4842-ad02-8669e9270a84" xmlns:ns4="82f86ded-8073-4604-8674-2eed7fa55442" targetNamespace="http://schemas.microsoft.com/office/2006/metadata/properties" ma:root="true" ma:fieldsID="9e6a5051f96d9d7b1ed9597dfdaad51e" ns3:_="" ns4:_="">
    <xsd:import namespace="a292a34c-58e1-4842-ad02-8669e9270a84"/>
    <xsd:import namespace="82f86ded-8073-4604-8674-2eed7fa5544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2a34c-58e1-4842-ad02-8669e9270a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f86ded-8073-4604-8674-2eed7fa554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07A5DD-6439-4398-82F7-4D231C1A8DEB}">
  <ds:schemaRefs>
    <ds:schemaRef ds:uri="http://schemas.microsoft.com/sharepoint/v3/contenttype/forms"/>
  </ds:schemaRefs>
</ds:datastoreItem>
</file>

<file path=customXml/itemProps2.xml><?xml version="1.0" encoding="utf-8"?>
<ds:datastoreItem xmlns:ds="http://schemas.openxmlformats.org/officeDocument/2006/customXml" ds:itemID="{EB37A5E2-7D75-4DEF-A762-6D9632DC2DCE}">
  <ds:schemaRefs>
    <ds:schemaRef ds:uri="http://schemas.microsoft.com/office/2006/metadata/properties"/>
    <ds:schemaRef ds:uri="http://purl.org/dc/terms/"/>
    <ds:schemaRef ds:uri="http://schemas.microsoft.com/office/2006/documentManagement/types"/>
    <ds:schemaRef ds:uri="a292a34c-58e1-4842-ad02-8669e9270a84"/>
    <ds:schemaRef ds:uri="http://purl.org/dc/elements/1.1/"/>
    <ds:schemaRef ds:uri="http://schemas.microsoft.com/office/infopath/2007/PartnerControls"/>
    <ds:schemaRef ds:uri="82f86ded-8073-4604-8674-2eed7fa55442"/>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257EBF5-F23A-45CE-952C-480BF4A19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2a34c-58e1-4842-ad02-8669e9270a84"/>
    <ds:schemaRef ds:uri="82f86ded-8073-4604-8674-2eed7fa55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Scope guidance</vt:lpstr>
      <vt:lpstr>Scope 1</vt:lpstr>
      <vt:lpstr>Scope 2</vt:lpstr>
      <vt:lpstr>Scope 3</vt:lpstr>
      <vt:lpstr>Outsourced Scope 3</vt:lpstr>
      <vt:lpstr>Summary tables</vt:lpstr>
      <vt:lpstr>Summary charts</vt:lpstr>
      <vt:lpstr>Data Collection Tab - Overview</vt:lpstr>
      <vt:lpstr>Data Collection Tab - Emissions</vt:lpstr>
      <vt:lpstr>GHG Emission Factors</vt:lpstr>
      <vt:lpstr>List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Nafi Ahmed</dc:creator>
  <cp:lastModifiedBy>Grace Ferris</cp:lastModifiedBy>
  <cp:lastPrinted>2021-05-05T09:12:43Z</cp:lastPrinted>
  <dcterms:created xsi:type="dcterms:W3CDTF">2020-06-05T10:55:54Z</dcterms:created>
  <dcterms:modified xsi:type="dcterms:W3CDTF">2022-02-04T16:15:55Z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0x0101000FA0038B107995439CFB6BB4DE7C54DF</vt:lpwstr>
  </property>
  <property fmtid="{D5CDD505-2E9C-101B-9397-08002B2CF9AE}" pid="3" name="Order">
    <vt:r8>608000</vt:r8>
  </property>
  <property fmtid="{D5CDD505-2E9C-101B-9397-08002B2CF9AE}" pid="4" name="_dlc_DocIdItemGuid">
    <vt:lpwstr>1a4eed7b-86f7-4dd9-8d0a-903e84f6b05a</vt:lpwstr>
  </property>
</Properties>
</file>